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CharlesNightingale\Downloads\"/>
    </mc:Choice>
  </mc:AlternateContent>
  <xr:revisionPtr revIDLastSave="0" documentId="11_4F90A7F4BFC090F3DC17763D6C739046C023D7B4" xr6:coauthVersionLast="47" xr6:coauthVersionMax="47" xr10:uidLastSave="{00000000-0000-0000-0000-000000000000}"/>
  <bookViews>
    <workbookView xWindow="28680" yWindow="-120" windowWidth="29040" windowHeight="15720" xr2:uid="{00000000-000D-0000-FFFF-FFFF00000000}"/>
  </bookViews>
  <sheets>
    <sheet name="Cover" sheetId="1" r:id="rId1"/>
    <sheet name="How To Use" sheetId="2" r:id="rId2"/>
    <sheet name="Dashboard" sheetId="3" r:id="rId3"/>
    <sheet name="Inputs" sheetId="4" r:id="rId4"/>
    <sheet name="What-If" sheetId="5" r:id="rId5"/>
    <sheet name="Bridge" sheetId="6" r:id="rId6"/>
  </sheets>
  <definedNames>
    <definedName name="_xlnm.Print_Area" localSheetId="2">Dashboard!$A$1:$M$64</definedName>
    <definedName name="_xlnm.Print_Titles" localSheetId="5">Bridge!$6:$7,Bridge!$B:$C</definedName>
    <definedName name="_xlnm.Print_Titles" localSheetId="3">Inputs!$11:$11</definedName>
    <definedName name="_xlnm.Print_Titles" localSheetId="4">'What-If'!$11:$12,'What-If'!$B:$C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8" i="6" l="1"/>
  <c r="I32" i="6"/>
  <c r="E32" i="6"/>
  <c r="D32" i="6"/>
  <c r="F32" i="6" s="1"/>
  <c r="C32" i="6"/>
  <c r="E31" i="6"/>
  <c r="D31" i="6"/>
  <c r="C31" i="6"/>
  <c r="E30" i="6"/>
  <c r="D30" i="6"/>
  <c r="F30" i="6" s="1"/>
  <c r="E29" i="6"/>
  <c r="D29" i="6"/>
  <c r="F29" i="6" s="1"/>
  <c r="E28" i="6"/>
  <c r="D28" i="6"/>
  <c r="F28" i="6" s="1"/>
  <c r="E27" i="6"/>
  <c r="D27" i="6"/>
  <c r="F27" i="6" s="1"/>
  <c r="C27" i="6"/>
  <c r="E26" i="6"/>
  <c r="D26" i="6"/>
  <c r="F26" i="6" s="1"/>
  <c r="E25" i="6"/>
  <c r="D25" i="6"/>
  <c r="F25" i="6" s="1"/>
  <c r="E24" i="6"/>
  <c r="D24" i="6"/>
  <c r="F24" i="6" s="1"/>
  <c r="E23" i="6"/>
  <c r="D23" i="6"/>
  <c r="F23" i="6" s="1"/>
  <c r="E22" i="6"/>
  <c r="D22" i="6"/>
  <c r="F22" i="6" s="1"/>
  <c r="E21" i="6"/>
  <c r="D21" i="6"/>
  <c r="F21" i="6" s="1"/>
  <c r="E20" i="6"/>
  <c r="D20" i="6"/>
  <c r="F20" i="6" s="1"/>
  <c r="F19" i="6"/>
  <c r="E19" i="6"/>
  <c r="D19" i="6"/>
  <c r="E18" i="6"/>
  <c r="D18" i="6"/>
  <c r="F18" i="6" s="1"/>
  <c r="E17" i="6"/>
  <c r="D17" i="6"/>
  <c r="F17" i="6" s="1"/>
  <c r="E16" i="6"/>
  <c r="D16" i="6"/>
  <c r="F16" i="6" s="1"/>
  <c r="E15" i="6"/>
  <c r="D15" i="6"/>
  <c r="F15" i="6" s="1"/>
  <c r="E14" i="6"/>
  <c r="D14" i="6"/>
  <c r="F14" i="6" s="1"/>
  <c r="E13" i="6"/>
  <c r="D13" i="6"/>
  <c r="F13" i="6" s="1"/>
  <c r="E12" i="6"/>
  <c r="D12" i="6"/>
  <c r="F12" i="6" s="1"/>
  <c r="E11" i="6"/>
  <c r="D11" i="6"/>
  <c r="F11" i="6" s="1"/>
  <c r="E10" i="6"/>
  <c r="D10" i="6"/>
  <c r="F10" i="6" s="1"/>
  <c r="E9" i="6"/>
  <c r="D9" i="6"/>
  <c r="F9" i="6" s="1"/>
  <c r="E8" i="6"/>
  <c r="D8" i="6"/>
  <c r="F8" i="6" s="1"/>
  <c r="L38" i="5"/>
  <c r="K38" i="5"/>
  <c r="J38" i="5"/>
  <c r="G38" i="5"/>
  <c r="O37" i="5"/>
  <c r="Q37" i="5" s="1"/>
  <c r="P32" i="6" s="1"/>
  <c r="E37" i="5"/>
  <c r="D37" i="5"/>
  <c r="M37" i="5" s="1"/>
  <c r="C37" i="5"/>
  <c r="E36" i="5"/>
  <c r="O36" i="5" s="1"/>
  <c r="D36" i="5"/>
  <c r="M36" i="5" s="1"/>
  <c r="C36" i="5"/>
  <c r="E35" i="5"/>
  <c r="O35" i="5" s="1"/>
  <c r="D35" i="5"/>
  <c r="M35" i="5" s="1"/>
  <c r="C35" i="5"/>
  <c r="C30" i="6" s="1"/>
  <c r="E34" i="5"/>
  <c r="O34" i="5" s="1"/>
  <c r="D34" i="5"/>
  <c r="M34" i="5" s="1"/>
  <c r="C34" i="5"/>
  <c r="C29" i="6" s="1"/>
  <c r="E33" i="5"/>
  <c r="O33" i="5" s="1"/>
  <c r="D33" i="5"/>
  <c r="C33" i="5"/>
  <c r="C28" i="6" s="1"/>
  <c r="E32" i="5"/>
  <c r="O32" i="5" s="1"/>
  <c r="D32" i="5"/>
  <c r="M32" i="5" s="1"/>
  <c r="C32" i="5"/>
  <c r="E31" i="5"/>
  <c r="O31" i="5" s="1"/>
  <c r="D31" i="5"/>
  <c r="M31" i="5" s="1"/>
  <c r="C31" i="5"/>
  <c r="C26" i="6" s="1"/>
  <c r="E30" i="5"/>
  <c r="O30" i="5" s="1"/>
  <c r="D30" i="5"/>
  <c r="M30" i="5" s="1"/>
  <c r="C30" i="5"/>
  <c r="C25" i="6" s="1"/>
  <c r="E29" i="5"/>
  <c r="O29" i="5" s="1"/>
  <c r="D29" i="5"/>
  <c r="M29" i="5" s="1"/>
  <c r="C29" i="5"/>
  <c r="C24" i="6" s="1"/>
  <c r="E28" i="5"/>
  <c r="O28" i="5" s="1"/>
  <c r="D28" i="5"/>
  <c r="M28" i="5" s="1"/>
  <c r="C28" i="5"/>
  <c r="C23" i="6" s="1"/>
  <c r="E27" i="5"/>
  <c r="O27" i="5" s="1"/>
  <c r="D27" i="5"/>
  <c r="M27" i="5" s="1"/>
  <c r="C27" i="5"/>
  <c r="C22" i="6" s="1"/>
  <c r="E26" i="5"/>
  <c r="O26" i="5" s="1"/>
  <c r="D26" i="5"/>
  <c r="M26" i="5" s="1"/>
  <c r="C26" i="5"/>
  <c r="C21" i="6" s="1"/>
  <c r="E25" i="5"/>
  <c r="O25" i="5" s="1"/>
  <c r="D25" i="5"/>
  <c r="M25" i="5" s="1"/>
  <c r="C25" i="5"/>
  <c r="C20" i="6" s="1"/>
  <c r="E24" i="5"/>
  <c r="O24" i="5" s="1"/>
  <c r="D24" i="5"/>
  <c r="M24" i="5" s="1"/>
  <c r="C24" i="5"/>
  <c r="C19" i="6" s="1"/>
  <c r="E23" i="5"/>
  <c r="O23" i="5" s="1"/>
  <c r="D23" i="5"/>
  <c r="M23" i="5" s="1"/>
  <c r="C23" i="5"/>
  <c r="C18" i="6" s="1"/>
  <c r="E22" i="5"/>
  <c r="O22" i="5" s="1"/>
  <c r="D22" i="5"/>
  <c r="M22" i="5" s="1"/>
  <c r="C22" i="5"/>
  <c r="C17" i="6" s="1"/>
  <c r="E21" i="5"/>
  <c r="O21" i="5" s="1"/>
  <c r="D21" i="5"/>
  <c r="M21" i="5" s="1"/>
  <c r="C21" i="5"/>
  <c r="C16" i="6" s="1"/>
  <c r="E20" i="5"/>
  <c r="O20" i="5" s="1"/>
  <c r="D20" i="5"/>
  <c r="M20" i="5" s="1"/>
  <c r="C20" i="5"/>
  <c r="C15" i="6" s="1"/>
  <c r="E19" i="5"/>
  <c r="O19" i="5" s="1"/>
  <c r="D19" i="5"/>
  <c r="M19" i="5" s="1"/>
  <c r="C19" i="5"/>
  <c r="C14" i="6" s="1"/>
  <c r="E18" i="5"/>
  <c r="O18" i="5" s="1"/>
  <c r="D18" i="5"/>
  <c r="M18" i="5" s="1"/>
  <c r="C18" i="5"/>
  <c r="C13" i="6" s="1"/>
  <c r="E17" i="5"/>
  <c r="O17" i="5" s="1"/>
  <c r="D17" i="5"/>
  <c r="M17" i="5" s="1"/>
  <c r="C17" i="5"/>
  <c r="C12" i="6" s="1"/>
  <c r="E16" i="5"/>
  <c r="O16" i="5" s="1"/>
  <c r="D16" i="5"/>
  <c r="M16" i="5" s="1"/>
  <c r="C16" i="5"/>
  <c r="C11" i="6" s="1"/>
  <c r="E15" i="5"/>
  <c r="O15" i="5" s="1"/>
  <c r="D15" i="5"/>
  <c r="M15" i="5" s="1"/>
  <c r="C15" i="5"/>
  <c r="C10" i="6" s="1"/>
  <c r="E14" i="5"/>
  <c r="O14" i="5" s="1"/>
  <c r="D14" i="5"/>
  <c r="M14" i="5" s="1"/>
  <c r="C14" i="5"/>
  <c r="C9" i="6" s="1"/>
  <c r="E13" i="5"/>
  <c r="O13" i="5" s="1"/>
  <c r="D13" i="5"/>
  <c r="M13" i="5" s="1"/>
  <c r="C13" i="5"/>
  <c r="C8" i="6" s="1"/>
  <c r="D9" i="5"/>
  <c r="E37" i="4"/>
  <c r="G36" i="4"/>
  <c r="G35" i="4"/>
  <c r="H34" i="4"/>
  <c r="G34" i="4"/>
  <c r="H33" i="4"/>
  <c r="G33" i="4"/>
  <c r="H32" i="4"/>
  <c r="G32" i="4"/>
  <c r="H31" i="4"/>
  <c r="G31" i="4"/>
  <c r="H30" i="4"/>
  <c r="G30" i="4"/>
  <c r="H29" i="4"/>
  <c r="G29" i="4"/>
  <c r="H28" i="4"/>
  <c r="G28" i="4"/>
  <c r="H27" i="4"/>
  <c r="G27" i="4"/>
  <c r="H26" i="4"/>
  <c r="G26" i="4"/>
  <c r="H25" i="4"/>
  <c r="G25" i="4"/>
  <c r="H24" i="4"/>
  <c r="G24" i="4"/>
  <c r="H23" i="4"/>
  <c r="G23" i="4"/>
  <c r="H22" i="4"/>
  <c r="G22" i="4"/>
  <c r="H21" i="4"/>
  <c r="G21" i="4"/>
  <c r="H20" i="4"/>
  <c r="G20" i="4"/>
  <c r="H19" i="4"/>
  <c r="G19" i="4"/>
  <c r="G37" i="4" s="1"/>
  <c r="H18" i="4"/>
  <c r="G18" i="4"/>
  <c r="G17" i="4"/>
  <c r="G16" i="4"/>
  <c r="G15" i="4"/>
  <c r="G14" i="4"/>
  <c r="G13" i="4"/>
  <c r="G12" i="4"/>
  <c r="C25" i="3"/>
  <c r="F25" i="3" s="1"/>
  <c r="C22" i="3"/>
  <c r="B17" i="3"/>
  <c r="B16" i="3"/>
  <c r="B15" i="3"/>
  <c r="B14" i="3"/>
  <c r="B13" i="3"/>
  <c r="F12" i="3"/>
  <c r="E12" i="3"/>
  <c r="B12" i="3"/>
  <c r="K8" i="3"/>
  <c r="I8" i="3"/>
  <c r="G8" i="3"/>
  <c r="E8" i="3"/>
  <c r="B8" i="3"/>
  <c r="B4" i="3"/>
  <c r="D33" i="6" l="1"/>
  <c r="F31" i="6"/>
  <c r="F33" i="6" s="1"/>
  <c r="D37" i="6" s="1"/>
  <c r="E37" i="6"/>
  <c r="I37" i="6"/>
  <c r="C12" i="3"/>
  <c r="I31" i="6"/>
  <c r="Q36" i="5"/>
  <c r="P31" i="6" s="1"/>
  <c r="I30" i="6"/>
  <c r="Q35" i="5"/>
  <c r="P30" i="6" s="1"/>
  <c r="Q34" i="5"/>
  <c r="P29" i="6" s="1"/>
  <c r="I29" i="6"/>
  <c r="Q33" i="5"/>
  <c r="P28" i="6" s="1"/>
  <c r="I28" i="6"/>
  <c r="D38" i="5"/>
  <c r="E38" i="5" s="1"/>
  <c r="M33" i="5"/>
  <c r="M38" i="5" s="1"/>
  <c r="Q32" i="5"/>
  <c r="P27" i="6" s="1"/>
  <c r="I27" i="6"/>
  <c r="Q31" i="5"/>
  <c r="P26" i="6" s="1"/>
  <c r="I26" i="6"/>
  <c r="Q30" i="5"/>
  <c r="P25" i="6" s="1"/>
  <c r="I25" i="6"/>
  <c r="Q29" i="5"/>
  <c r="P24" i="6" s="1"/>
  <c r="I24" i="6"/>
  <c r="Q28" i="5"/>
  <c r="P23" i="6" s="1"/>
  <c r="I23" i="6"/>
  <c r="Q27" i="5"/>
  <c r="P22" i="6" s="1"/>
  <c r="I22" i="6"/>
  <c r="Q26" i="5"/>
  <c r="P21" i="6" s="1"/>
  <c r="I21" i="6"/>
  <c r="Q25" i="5"/>
  <c r="P20" i="6" s="1"/>
  <c r="I20" i="6"/>
  <c r="Q24" i="5"/>
  <c r="P19" i="6" s="1"/>
  <c r="I19" i="6"/>
  <c r="Q23" i="5"/>
  <c r="P18" i="6" s="1"/>
  <c r="I18" i="6"/>
  <c r="Q22" i="5"/>
  <c r="P17" i="6" s="1"/>
  <c r="I17" i="6"/>
  <c r="Q21" i="5"/>
  <c r="P16" i="6" s="1"/>
  <c r="I16" i="6"/>
  <c r="Q20" i="5"/>
  <c r="P15" i="6" s="1"/>
  <c r="I15" i="6"/>
  <c r="Q19" i="5"/>
  <c r="P14" i="6" s="1"/>
  <c r="I14" i="6"/>
  <c r="Q18" i="5"/>
  <c r="P13" i="6" s="1"/>
  <c r="I13" i="6"/>
  <c r="Q17" i="5"/>
  <c r="P12" i="6" s="1"/>
  <c r="I12" i="6"/>
  <c r="Q16" i="5"/>
  <c r="P11" i="6" s="1"/>
  <c r="I11" i="6"/>
  <c r="Q15" i="5"/>
  <c r="P10" i="6" s="1"/>
  <c r="I10" i="6"/>
  <c r="Q14" i="5"/>
  <c r="P9" i="6" s="1"/>
  <c r="I9" i="6"/>
  <c r="Q13" i="5"/>
  <c r="I8" i="6"/>
  <c r="D47" i="6"/>
  <c r="N30" i="5"/>
  <c r="N27" i="5"/>
  <c r="N23" i="5"/>
  <c r="N22" i="5"/>
  <c r="N25" i="5"/>
  <c r="N26" i="5"/>
  <c r="N31" i="5"/>
  <c r="N20" i="5"/>
  <c r="N24" i="5"/>
  <c r="N19" i="5"/>
  <c r="N18" i="5"/>
  <c r="N17" i="5"/>
  <c r="N37" i="5"/>
  <c r="N34" i="5"/>
  <c r="N16" i="5"/>
  <c r="N32" i="5"/>
  <c r="N21" i="5"/>
  <c r="N15" i="5"/>
  <c r="N33" i="5"/>
  <c r="E9" i="5"/>
  <c r="N35" i="5"/>
  <c r="N14" i="5"/>
  <c r="N36" i="5"/>
  <c r="N29" i="5"/>
  <c r="N13" i="5"/>
  <c r="N28" i="5"/>
  <c r="H36" i="4"/>
  <c r="H35" i="4"/>
  <c r="F37" i="4"/>
  <c r="H17" i="4"/>
  <c r="H16" i="4"/>
  <c r="H15" i="4"/>
  <c r="H14" i="4"/>
  <c r="H13" i="4"/>
  <c r="H12" i="4"/>
  <c r="H37" i="4" s="1"/>
  <c r="B7" i="3"/>
  <c r="D49" i="6"/>
  <c r="C24" i="3"/>
  <c r="C26" i="3"/>
  <c r="E33" i="6" l="1"/>
  <c r="G8" i="6"/>
  <c r="G9" i="6"/>
  <c r="G10" i="6"/>
  <c r="G11" i="6"/>
  <c r="G12" i="6"/>
  <c r="G13" i="6"/>
  <c r="G14" i="6"/>
  <c r="G15" i="6"/>
  <c r="G16" i="6"/>
  <c r="G17" i="6"/>
  <c r="G18" i="6"/>
  <c r="G19" i="6"/>
  <c r="G20" i="6"/>
  <c r="G21" i="6"/>
  <c r="G22" i="6"/>
  <c r="G23" i="6"/>
  <c r="G24" i="6"/>
  <c r="G25" i="6"/>
  <c r="G26" i="6"/>
  <c r="G27" i="6"/>
  <c r="G28" i="6"/>
  <c r="G29" i="6"/>
  <c r="G30" i="6"/>
  <c r="G31" i="6"/>
  <c r="G32" i="6"/>
  <c r="D12" i="3"/>
  <c r="P8" i="6"/>
  <c r="P33" i="6" s="1"/>
  <c r="D41" i="6" s="1"/>
  <c r="Q38" i="5"/>
  <c r="P30" i="5"/>
  <c r="R30" i="5" s="1"/>
  <c r="S30" i="5" s="1"/>
  <c r="H25" i="6"/>
  <c r="P27" i="5"/>
  <c r="R27" i="5" s="1"/>
  <c r="S27" i="5" s="1"/>
  <c r="H22" i="6"/>
  <c r="P23" i="5"/>
  <c r="R23" i="5" s="1"/>
  <c r="S23" i="5" s="1"/>
  <c r="H18" i="6"/>
  <c r="P22" i="5"/>
  <c r="R22" i="5" s="1"/>
  <c r="S22" i="5" s="1"/>
  <c r="H17" i="6"/>
  <c r="P25" i="5"/>
  <c r="R25" i="5" s="1"/>
  <c r="S25" i="5" s="1"/>
  <c r="H20" i="6"/>
  <c r="P26" i="5"/>
  <c r="R26" i="5" s="1"/>
  <c r="S26" i="5" s="1"/>
  <c r="H21" i="6"/>
  <c r="P31" i="5"/>
  <c r="R31" i="5" s="1"/>
  <c r="S31" i="5" s="1"/>
  <c r="H26" i="6"/>
  <c r="P20" i="5"/>
  <c r="R20" i="5" s="1"/>
  <c r="S20" i="5" s="1"/>
  <c r="H15" i="6"/>
  <c r="P24" i="5"/>
  <c r="R24" i="5" s="1"/>
  <c r="S24" i="5" s="1"/>
  <c r="H19" i="6"/>
  <c r="P19" i="5"/>
  <c r="R19" i="5" s="1"/>
  <c r="S19" i="5" s="1"/>
  <c r="H14" i="6"/>
  <c r="P18" i="5"/>
  <c r="R18" i="5" s="1"/>
  <c r="S18" i="5" s="1"/>
  <c r="H13" i="6"/>
  <c r="P17" i="5"/>
  <c r="R17" i="5" s="1"/>
  <c r="S17" i="5" s="1"/>
  <c r="H12" i="6"/>
  <c r="H32" i="6"/>
  <c r="P37" i="5"/>
  <c r="R37" i="5" s="1"/>
  <c r="S37" i="5" s="1"/>
  <c r="P34" i="5"/>
  <c r="R34" i="5" s="1"/>
  <c r="S34" i="5" s="1"/>
  <c r="H29" i="6"/>
  <c r="P16" i="5"/>
  <c r="R16" i="5" s="1"/>
  <c r="S16" i="5" s="1"/>
  <c r="H11" i="6"/>
  <c r="P32" i="5"/>
  <c r="R32" i="5" s="1"/>
  <c r="S32" i="5" s="1"/>
  <c r="H27" i="6"/>
  <c r="P21" i="5"/>
  <c r="R21" i="5" s="1"/>
  <c r="S21" i="5" s="1"/>
  <c r="H16" i="6"/>
  <c r="P15" i="5"/>
  <c r="R15" i="5" s="1"/>
  <c r="S15" i="5" s="1"/>
  <c r="H10" i="6"/>
  <c r="P33" i="5"/>
  <c r="R33" i="5" s="1"/>
  <c r="S33" i="5" s="1"/>
  <c r="H28" i="6"/>
  <c r="P35" i="5"/>
  <c r="R35" i="5" s="1"/>
  <c r="S35" i="5" s="1"/>
  <c r="H30" i="6"/>
  <c r="P14" i="5"/>
  <c r="R14" i="5" s="1"/>
  <c r="S14" i="5" s="1"/>
  <c r="H9" i="6"/>
  <c r="P36" i="5"/>
  <c r="R36" i="5" s="1"/>
  <c r="S36" i="5" s="1"/>
  <c r="H31" i="6"/>
  <c r="P29" i="5"/>
  <c r="R29" i="5" s="1"/>
  <c r="S29" i="5" s="1"/>
  <c r="H24" i="6"/>
  <c r="P13" i="5"/>
  <c r="H8" i="6"/>
  <c r="N38" i="5"/>
  <c r="P28" i="5"/>
  <c r="R28" i="5" s="1"/>
  <c r="S28" i="5" s="1"/>
  <c r="H23" i="6"/>
  <c r="C23" i="3"/>
  <c r="E16" i="3" l="1"/>
  <c r="H41" i="6"/>
  <c r="G41" i="6"/>
  <c r="F16" i="3"/>
  <c r="L49" i="6"/>
  <c r="C16" i="3"/>
  <c r="K7" i="3"/>
  <c r="D25" i="3"/>
  <c r="E25" i="3" s="1"/>
  <c r="J25" i="6"/>
  <c r="N25" i="6"/>
  <c r="J22" i="6"/>
  <c r="N22" i="6"/>
  <c r="N18" i="6"/>
  <c r="J18" i="6"/>
  <c r="J17" i="6"/>
  <c r="N17" i="6"/>
  <c r="J20" i="6"/>
  <c r="N20" i="6"/>
  <c r="J21" i="6"/>
  <c r="N21" i="6"/>
  <c r="J26" i="6"/>
  <c r="N26" i="6"/>
  <c r="J15" i="6"/>
  <c r="N15" i="6"/>
  <c r="J19" i="6"/>
  <c r="N19" i="6"/>
  <c r="J14" i="6"/>
  <c r="N14" i="6"/>
  <c r="J13" i="6"/>
  <c r="N13" i="6"/>
  <c r="J12" i="6"/>
  <c r="N12" i="6"/>
  <c r="J32" i="6"/>
  <c r="N32" i="6"/>
  <c r="J29" i="6"/>
  <c r="N29" i="6"/>
  <c r="J11" i="6"/>
  <c r="N11" i="6"/>
  <c r="J27" i="6"/>
  <c r="N27" i="6"/>
  <c r="J16" i="6"/>
  <c r="N16" i="6"/>
  <c r="J10" i="6"/>
  <c r="N10" i="6"/>
  <c r="J28" i="6"/>
  <c r="N28" i="6"/>
  <c r="J30" i="6"/>
  <c r="N30" i="6"/>
  <c r="J9" i="6"/>
  <c r="N9" i="6"/>
  <c r="J31" i="6"/>
  <c r="N31" i="6"/>
  <c r="J24" i="6"/>
  <c r="N24" i="6"/>
  <c r="R13" i="5"/>
  <c r="P38" i="5"/>
  <c r="J8" i="6"/>
  <c r="N8" i="6"/>
  <c r="H33" i="6"/>
  <c r="D22" i="3"/>
  <c r="C8" i="3"/>
  <c r="O38" i="5"/>
  <c r="J23" i="6"/>
  <c r="N23" i="6"/>
  <c r="G33" i="6"/>
  <c r="P49" i="6" l="1"/>
  <c r="Q49" i="6"/>
  <c r="S13" i="5"/>
  <c r="S38" i="5" s="1"/>
  <c r="R38" i="5"/>
  <c r="D24" i="3"/>
  <c r="D46" i="6"/>
  <c r="K8" i="6"/>
  <c r="L8" i="6"/>
  <c r="K9" i="6"/>
  <c r="L9" i="6"/>
  <c r="K10" i="6"/>
  <c r="L10" i="6"/>
  <c r="K11" i="6"/>
  <c r="L11" i="6"/>
  <c r="K12" i="6"/>
  <c r="L12" i="6"/>
  <c r="K13" i="6"/>
  <c r="L13" i="6"/>
  <c r="K14" i="6"/>
  <c r="L14" i="6"/>
  <c r="K15" i="6"/>
  <c r="L15" i="6"/>
  <c r="L16" i="6"/>
  <c r="K17" i="6"/>
  <c r="K18" i="6"/>
  <c r="K16" i="6"/>
  <c r="L17" i="6"/>
  <c r="L18" i="6"/>
  <c r="K19" i="6"/>
  <c r="L19" i="6"/>
  <c r="K20" i="6"/>
  <c r="L20" i="6"/>
  <c r="K21" i="6"/>
  <c r="L21" i="6"/>
  <c r="K22" i="6"/>
  <c r="L22" i="6"/>
  <c r="K23" i="6"/>
  <c r="L23" i="6"/>
  <c r="K24" i="6"/>
  <c r="L24" i="6"/>
  <c r="K25" i="6"/>
  <c r="L25" i="6"/>
  <c r="K26" i="6"/>
  <c r="L26" i="6"/>
  <c r="K27" i="6"/>
  <c r="L27" i="6"/>
  <c r="K28" i="6"/>
  <c r="L28" i="6"/>
  <c r="K29" i="6"/>
  <c r="L29" i="6"/>
  <c r="K30" i="6"/>
  <c r="L30" i="6"/>
  <c r="K31" i="6"/>
  <c r="L31" i="6"/>
  <c r="K32" i="6"/>
  <c r="L32" i="6"/>
  <c r="F22" i="3"/>
  <c r="E22" i="3"/>
  <c r="I7" i="3"/>
  <c r="D23" i="3"/>
  <c r="J33" i="6"/>
  <c r="I33" i="6" s="1"/>
  <c r="N33" i="6"/>
  <c r="D39" i="6" s="1"/>
  <c r="G7" i="3" l="1"/>
  <c r="D42" i="6"/>
  <c r="C7" i="3"/>
  <c r="E7" i="3"/>
  <c r="D26" i="3"/>
  <c r="F24" i="3"/>
  <c r="E24" i="3"/>
  <c r="C55" i="3"/>
  <c r="D55" i="3"/>
  <c r="E55" i="3"/>
  <c r="F55" i="3"/>
  <c r="G55" i="3"/>
  <c r="H55" i="3"/>
  <c r="I55" i="3"/>
  <c r="J55" i="3"/>
  <c r="K55" i="3"/>
  <c r="C56" i="3"/>
  <c r="D56" i="3"/>
  <c r="E56" i="3"/>
  <c r="F56" i="3"/>
  <c r="G56" i="3"/>
  <c r="H56" i="3"/>
  <c r="I56" i="3"/>
  <c r="J56" i="3"/>
  <c r="K56" i="3"/>
  <c r="C57" i="3"/>
  <c r="D57" i="3"/>
  <c r="E57" i="3"/>
  <c r="F57" i="3"/>
  <c r="G57" i="3"/>
  <c r="H57" i="3"/>
  <c r="I57" i="3"/>
  <c r="J57" i="3"/>
  <c r="K57" i="3"/>
  <c r="C58" i="3"/>
  <c r="D58" i="3"/>
  <c r="E58" i="3"/>
  <c r="F58" i="3"/>
  <c r="G58" i="3"/>
  <c r="H58" i="3"/>
  <c r="I58" i="3"/>
  <c r="J58" i="3"/>
  <c r="K58" i="3"/>
  <c r="C59" i="3"/>
  <c r="D59" i="3"/>
  <c r="E59" i="3"/>
  <c r="F59" i="3"/>
  <c r="G59" i="3"/>
  <c r="H59" i="3"/>
  <c r="I59" i="3"/>
  <c r="J59" i="3"/>
  <c r="K59" i="3"/>
  <c r="C60" i="3"/>
  <c r="D60" i="3"/>
  <c r="E60" i="3"/>
  <c r="F60" i="3"/>
  <c r="G60" i="3"/>
  <c r="H60" i="3"/>
  <c r="I60" i="3"/>
  <c r="J60" i="3"/>
  <c r="K60" i="3"/>
  <c r="C61" i="3"/>
  <c r="D61" i="3"/>
  <c r="E61" i="3"/>
  <c r="F61" i="3"/>
  <c r="G61" i="3"/>
  <c r="H61" i="3"/>
  <c r="I61" i="3"/>
  <c r="J61" i="3"/>
  <c r="K61" i="3"/>
  <c r="C62" i="3"/>
  <c r="D62" i="3"/>
  <c r="E62" i="3"/>
  <c r="F62" i="3"/>
  <c r="G62" i="3"/>
  <c r="H62" i="3"/>
  <c r="I62" i="3"/>
  <c r="J62" i="3"/>
  <c r="K62" i="3"/>
  <c r="C63" i="3"/>
  <c r="D63" i="3"/>
  <c r="E63" i="3"/>
  <c r="F63" i="3"/>
  <c r="G63" i="3"/>
  <c r="H63" i="3"/>
  <c r="I63" i="3"/>
  <c r="J63" i="3"/>
  <c r="K63" i="3"/>
  <c r="O8" i="6"/>
  <c r="M8" i="6"/>
  <c r="L33" i="6"/>
  <c r="O9" i="6"/>
  <c r="M9" i="6"/>
  <c r="Q9" i="6" s="1"/>
  <c r="R9" i="6" s="1"/>
  <c r="O10" i="6"/>
  <c r="M10" i="6"/>
  <c r="Q10" i="6" s="1"/>
  <c r="R10" i="6" s="1"/>
  <c r="O11" i="6"/>
  <c r="M11" i="6"/>
  <c r="Q11" i="6" s="1"/>
  <c r="R11" i="6" s="1"/>
  <c r="O12" i="6"/>
  <c r="M12" i="6"/>
  <c r="Q12" i="6" s="1"/>
  <c r="R12" i="6" s="1"/>
  <c r="O13" i="6"/>
  <c r="M13" i="6"/>
  <c r="Q13" i="6" s="1"/>
  <c r="R13" i="6" s="1"/>
  <c r="O14" i="6"/>
  <c r="M14" i="6"/>
  <c r="Q14" i="6" s="1"/>
  <c r="R14" i="6" s="1"/>
  <c r="O15" i="6"/>
  <c r="M15" i="6"/>
  <c r="Q15" i="6" s="1"/>
  <c r="R15" i="6" s="1"/>
  <c r="O16" i="6"/>
  <c r="M16" i="6"/>
  <c r="Q16" i="6" s="1"/>
  <c r="R16" i="6" s="1"/>
  <c r="O17" i="6"/>
  <c r="M17" i="6"/>
  <c r="Q17" i="6" s="1"/>
  <c r="R17" i="6" s="1"/>
  <c r="O18" i="6"/>
  <c r="M18" i="6"/>
  <c r="Q18" i="6" s="1"/>
  <c r="R18" i="6" s="1"/>
  <c r="O19" i="6"/>
  <c r="M19" i="6"/>
  <c r="Q19" i="6" s="1"/>
  <c r="R19" i="6" s="1"/>
  <c r="O20" i="6"/>
  <c r="M20" i="6"/>
  <c r="Q20" i="6" s="1"/>
  <c r="R20" i="6" s="1"/>
  <c r="O21" i="6"/>
  <c r="M21" i="6"/>
  <c r="Q21" i="6" s="1"/>
  <c r="R21" i="6" s="1"/>
  <c r="O22" i="6"/>
  <c r="M22" i="6"/>
  <c r="Q22" i="6" s="1"/>
  <c r="R22" i="6" s="1"/>
  <c r="O23" i="6"/>
  <c r="M23" i="6"/>
  <c r="Q23" i="6" s="1"/>
  <c r="R23" i="6" s="1"/>
  <c r="O24" i="6"/>
  <c r="M24" i="6"/>
  <c r="O25" i="6"/>
  <c r="M25" i="6"/>
  <c r="Q25" i="6" s="1"/>
  <c r="R25" i="6" s="1"/>
  <c r="O26" i="6"/>
  <c r="M26" i="6"/>
  <c r="Q26" i="6" s="1"/>
  <c r="R26" i="6" s="1"/>
  <c r="O27" i="6"/>
  <c r="M27" i="6"/>
  <c r="Q27" i="6" s="1"/>
  <c r="R27" i="6" s="1"/>
  <c r="O28" i="6"/>
  <c r="M28" i="6"/>
  <c r="Q28" i="6" s="1"/>
  <c r="R28" i="6" s="1"/>
  <c r="O29" i="6"/>
  <c r="M29" i="6"/>
  <c r="Q29" i="6" s="1"/>
  <c r="R29" i="6" s="1"/>
  <c r="O30" i="6"/>
  <c r="M30" i="6"/>
  <c r="Q30" i="6" s="1"/>
  <c r="R30" i="6" s="1"/>
  <c r="O31" i="6"/>
  <c r="M31" i="6"/>
  <c r="O32" i="6"/>
  <c r="M32" i="6"/>
  <c r="Q32" i="6" s="1"/>
  <c r="R32" i="6" s="1"/>
  <c r="F23" i="3"/>
  <c r="E23" i="3"/>
  <c r="G39" i="6"/>
  <c r="L47" i="6"/>
  <c r="F14" i="3"/>
  <c r="C14" i="3"/>
  <c r="H39" i="6"/>
  <c r="E14" i="3"/>
  <c r="K33" i="6"/>
  <c r="E17" i="3" l="1"/>
  <c r="E42" i="6"/>
  <c r="D17" i="3" s="1"/>
  <c r="I42" i="6"/>
  <c r="C17" i="3"/>
  <c r="F17" i="3"/>
  <c r="F26" i="3"/>
  <c r="E26" i="3"/>
  <c r="Q8" i="6"/>
  <c r="M33" i="6"/>
  <c r="D38" i="6" s="1"/>
  <c r="R47" i="6"/>
  <c r="S47" i="6"/>
  <c r="O33" i="6"/>
  <c r="D40" i="6" s="1"/>
  <c r="Q24" i="6"/>
  <c r="R24" i="6" s="1"/>
  <c r="Q31" i="6"/>
  <c r="R31" i="6" s="1"/>
  <c r="R8" i="6" l="1"/>
  <c r="R33" i="6" s="1"/>
  <c r="K24" i="3"/>
  <c r="Q33" i="6"/>
  <c r="K23" i="3"/>
  <c r="K27" i="3"/>
  <c r="K25" i="3"/>
  <c r="K26" i="3"/>
  <c r="K22" i="3"/>
  <c r="E38" i="6"/>
  <c r="C18" i="3"/>
  <c r="E13" i="3"/>
  <c r="H38" i="6"/>
  <c r="L46" i="6"/>
  <c r="C13" i="3"/>
  <c r="F13" i="3"/>
  <c r="G38" i="6"/>
  <c r="E15" i="3"/>
  <c r="G40" i="6"/>
  <c r="H40" i="6"/>
  <c r="L48" i="6"/>
  <c r="C15" i="3"/>
  <c r="F15" i="3"/>
  <c r="M24" i="3" l="1"/>
  <c r="I24" i="3"/>
  <c r="L24" i="3"/>
  <c r="L23" i="3"/>
  <c r="M23" i="3"/>
  <c r="I23" i="3"/>
  <c r="L27" i="3"/>
  <c r="M27" i="3"/>
  <c r="I27" i="3"/>
  <c r="M25" i="3"/>
  <c r="I25" i="3"/>
  <c r="L25" i="3"/>
  <c r="L26" i="3"/>
  <c r="M26" i="3"/>
  <c r="I26" i="3"/>
  <c r="I22" i="3"/>
  <c r="L22" i="3"/>
  <c r="M22" i="3"/>
  <c r="E39" i="6"/>
  <c r="F39" i="6"/>
  <c r="D13" i="3"/>
  <c r="F38" i="6"/>
  <c r="P46" i="6"/>
  <c r="L50" i="6"/>
  <c r="M46" i="6"/>
  <c r="R46" i="6" s="1"/>
  <c r="Q46" i="6"/>
  <c r="S46" i="6"/>
  <c r="P48" i="6"/>
  <c r="Q48" i="6"/>
  <c r="E40" i="6" l="1"/>
  <c r="F40" i="6" s="1"/>
  <c r="D14" i="3"/>
  <c r="M50" i="6"/>
  <c r="T50" i="6"/>
  <c r="O46" i="6"/>
  <c r="N46" i="6"/>
  <c r="M47" i="6"/>
  <c r="N47" i="6"/>
  <c r="O47" i="6"/>
  <c r="D15" i="3" l="1"/>
  <c r="F41" i="6"/>
  <c r="E41" i="6"/>
  <c r="S48" i="6"/>
  <c r="R48" i="6"/>
  <c r="M48" i="6"/>
  <c r="N48" i="6"/>
  <c r="O48" i="6"/>
  <c r="Q47" i="6"/>
  <c r="P47" i="6"/>
  <c r="D16" i="3" l="1"/>
  <c r="D43" i="6"/>
  <c r="S49" i="6"/>
  <c r="M49" i="6"/>
  <c r="R49" i="6" s="1"/>
  <c r="N49" i="6"/>
  <c r="O4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Seizmic FP&amp;A</author>
  </authors>
  <commentList>
    <comment ref="E11" authorId="0" shapeId="0" xr:uid="{00000000-0006-0000-0300-000001000000}">
      <text>
        <r>
          <rPr>
            <sz val="11"/>
            <color theme="1"/>
            <rFont val="Calibri"/>
            <family val="2"/>
            <scheme val="minor"/>
          </rPr>
          <t>Units sold in the baseline period (budget, last year or forecast).</t>
        </r>
      </text>
    </comment>
    <comment ref="F11" authorId="0" shapeId="0" xr:uid="{00000000-0006-0000-0300-000002000000}">
      <text>
        <r>
          <rPr>
            <sz val="11"/>
            <color theme="1"/>
            <rFont val="Calibri"/>
            <family val="2"/>
            <scheme val="minor"/>
          </rPr>
          <t>Net selling price per unit in the baseline. Revenue = units x price.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Seizmic FP&amp;A</author>
  </authors>
  <commentList>
    <comment ref="F12" authorId="0" shapeId="0" xr:uid="{00000000-0006-0000-0400-000001000000}">
      <text>
        <r>
          <rPr>
            <sz val="11"/>
            <color theme="1"/>
            <rFont val="Calibri"/>
            <family val="2"/>
            <scheme val="minor"/>
          </rPr>
          <t>Change in units for this product, e.g. 10% or -15%.</t>
        </r>
      </text>
    </comment>
    <comment ref="G12" authorId="0" shapeId="0" xr:uid="{00000000-0006-0000-0400-000002000000}">
      <text>
        <r>
          <rPr>
            <sz val="11"/>
            <color theme="1"/>
            <rFont val="Calibri"/>
            <family val="2"/>
            <scheme val="minor"/>
          </rPr>
          <t>Optional: type the scenario units directly (e.g. actual units). Replaces baseline x volume %. Global volume % still applies.</t>
        </r>
      </text>
    </comment>
    <comment ref="H12" authorId="0" shapeId="0" xr:uid="{00000000-0006-0000-0400-000003000000}">
      <text>
        <r>
          <rPr>
            <sz val="11"/>
            <color theme="1"/>
            <rFont val="Calibri"/>
            <family val="2"/>
            <scheme val="minor"/>
          </rPr>
          <t>Change in price per unit for this product, e.g. 3% or -2%.</t>
        </r>
      </text>
    </comment>
    <comment ref="I12" authorId="0" shapeId="0" xr:uid="{00000000-0006-0000-0400-000004000000}">
      <text>
        <r>
          <rPr>
            <sz val="11"/>
            <color theme="1"/>
            <rFont val="Calibri"/>
            <family val="2"/>
            <scheme val="minor"/>
          </rPr>
          <t>Optional: type the scenario price directly (e.g. actual price). Global price % still applies.</t>
        </r>
      </text>
    </comment>
    <comment ref="J12" authorId="0" shapeId="0" xr:uid="{00000000-0006-0000-0400-000005000000}">
      <text>
        <r>
          <rPr>
            <sz val="11"/>
            <color theme="1"/>
            <rFont val="Calibri"/>
            <family val="2"/>
            <scheme val="minor"/>
          </rPr>
          <t>Optional: only used when the column totals exactly 100%. Re-splits total scenario units across products.</t>
        </r>
      </text>
    </comment>
    <comment ref="K12" authorId="0" shapeId="0" xr:uid="{00000000-0006-0000-0400-000006000000}">
      <text>
        <r>
          <rPr>
            <sz val="11"/>
            <color theme="1"/>
            <rFont val="Calibri"/>
            <family val="2"/>
            <scheme val="minor"/>
          </rPr>
          <t>Units that land in this period but belong to another: + pulled in early, - pushed out to a later period. Valued at the scenario price.</t>
        </r>
      </text>
    </comment>
    <comment ref="L12" authorId="0" shapeId="0" xr:uid="{00000000-0006-0000-0400-000007000000}">
      <text>
        <r>
          <rPr>
            <sz val="11"/>
            <color theme="1"/>
            <rFont val="Calibri"/>
            <family val="2"/>
            <scheme val="minor"/>
          </rPr>
          <t>Any other revenue in the wrong period, e.g. an invoice billed early (+) or deferred (-).</t>
        </r>
      </text>
    </comment>
  </commentList>
</comments>
</file>

<file path=xl/sharedStrings.xml><?xml version="1.0" encoding="utf-8"?>
<sst xmlns="http://schemas.openxmlformats.org/spreadsheetml/2006/main" count="291" uniqueCount="231">
  <si>
    <t>Step 3: Variance Bridge Result</t>
  </si>
  <si>
    <t>Baseline revenue</t>
  </si>
  <si>
    <t>Scenario revenue</t>
  </si>
  <si>
    <t>Change in revenue</t>
  </si>
  <si>
    <t>Change in revenue %</t>
  </si>
  <si>
    <t>Average price change %</t>
  </si>
  <si>
    <t>Timing in this scenario</t>
  </si>
  <si>
    <t>Revenue bridge: baseline to scenario</t>
  </si>
  <si>
    <t>Step</t>
  </si>
  <si>
    <t>Amount</t>
  </si>
  <si>
    <t>Running total</t>
  </si>
  <si>
    <t>% of baseline
revenue</t>
  </si>
  <si>
    <t>What it means</t>
  </si>
  <si>
    <t>Check (must be 0)</t>
  </si>
  <si>
    <t>Key indicators</t>
  </si>
  <si>
    <t>Top movers by product</t>
  </si>
  <si>
    <t>Measure</t>
  </si>
  <si>
    <t>Baseline</t>
  </si>
  <si>
    <t>Scenario</t>
  </si>
  <si>
    <t>Change</t>
  </si>
  <si>
    <t>Change %</t>
  </si>
  <si>
    <t>Rank</t>
  </si>
  <si>
    <t>Product</t>
  </si>
  <si>
    <t>Total change</t>
  </si>
  <si>
    <t>Baseline
mix %</t>
  </si>
  <si>
    <t>Scenario
mix %</t>
  </si>
  <si>
    <t>Total units</t>
  </si>
  <si>
    <t>Increase 1</t>
  </si>
  <si>
    <t>Average price per unit</t>
  </si>
  <si>
    <t>Increase 2</t>
  </si>
  <si>
    <t>Revenue (underlying)</t>
  </si>
  <si>
    <t>Increase 3</t>
  </si>
  <si>
    <t>Timing</t>
  </si>
  <si>
    <t>Decrease 1</t>
  </si>
  <si>
    <t>Revenue (reported)</t>
  </si>
  <si>
    <t>Decrease 2</t>
  </si>
  <si>
    <t>Decrease 3</t>
  </si>
  <si>
    <t>Charts</t>
  </si>
  <si>
    <t>Teal bars increase revenue, Orange bars reduce it, the dark bar is the net change.</t>
  </si>
  <si>
    <t>Shows the first 10 product rows. Totals for all 25 rows are on the Bridge sheet.</t>
  </si>
  <si>
    <t>Sensitivity: change in revenue vs baseline</t>
  </si>
  <si>
    <t>Each cell replaces the two global levers with the values on its row and column, keeping every product lever. The outlined cell is the current scenario. Blue values can be changed.</t>
  </si>
  <si>
    <t>Global price change %</t>
  </si>
  <si>
    <t>Global volume change %</t>
  </si>
  <si>
    <t>Variance Bridge</t>
  </si>
  <si>
    <t>Analysis Workbook</t>
  </si>
  <si>
    <t>Volume, price, mix and timing: see how each driver moves your revenue, product by product.</t>
  </si>
  <si>
    <t>The Future of Finance</t>
  </si>
  <si>
    <t>What this workbook is for</t>
  </si>
  <si>
    <t>"Revenue is 8% behind budget" is arithmetic, not analysis. To act on a revenue number you need to know why it moved, and in almost every business the answer comes down to four drivers: Volume (how many units you sell), Price (what you sell each unit for), Mix (which products make up the total) and Timing (whether the revenue landed in the period it belongs to).</t>
  </si>
  <si>
    <t>This workbook lets you see those four drivers at work on your own products. Enter a baseline, change one lever or several, and the model shows how much of the change in revenue comes from each driver, product by product, in a bridge from baseline to scenario that always reconciles to the total.</t>
  </si>
  <si>
    <t>What you can use it for</t>
  </si>
  <si>
    <t>1.  Test a price increase before you announce it: how much volume can you afford to lose before the increase stops paying for itself?</t>
  </si>
  <si>
    <t>2.  See how a shift in product mix can move revenue up or down even when total units do not change.</t>
  </si>
  <si>
    <t>3.  Separate a real loss of sales from revenue that has only moved to another period, such as a customer delaying an order.</t>
  </si>
  <si>
    <t>4.  Compare actuals with budget by typing in actual units and prices, and explain the variance in four numbers instead of one.</t>
  </si>
  <si>
    <t>5.  Take the right question to the right person: volume to sales, price to commercial, mix to product strategy, while a timing difference may need no action at all.</t>
  </si>
  <si>
    <t>The aim is one consistent way to explain revenue movements, so the conversation moves from what happened to what to do about it. In Seizmic FP&amp;A the AI engine runs this same analysis every month, across every customer and product, as soon as the actuals land.</t>
  </si>
  <si>
    <t>About this workbook</t>
  </si>
  <si>
    <t>Version</t>
  </si>
  <si>
    <t>1.0</t>
  </si>
  <si>
    <t>Date</t>
  </si>
  <si>
    <t>4 November 2026</t>
  </si>
  <si>
    <t>Prepared by</t>
  </si>
  <si>
    <t>Seizmic FP&amp;A</t>
  </si>
  <si>
    <t>Prepared for</t>
  </si>
  <si>
    <t>Finance and FP&amp;A teams running their own variance and what-if analysis</t>
  </si>
  <si>
    <t>Data source</t>
  </si>
  <si>
    <t>Your own baseline and scenario inputs. The example figures supplied are illustrative only.</t>
  </si>
  <si>
    <t>Method</t>
  </si>
  <si>
    <t>Seizmic revenue variance method: Volume, Price, Mix and Timing (seizmic.ai)</t>
  </si>
  <si>
    <t>Ownership</t>
  </si>
  <si>
    <t>Seizmic proprietary workbook. Free to download and use within your organization. Please do not resell it or redistribute modified copies.</t>
  </si>
  <si>
    <t>Confidentiality</t>
  </si>
  <si>
    <t>Once you enter your own data, treat the file as confidential to your business.</t>
  </si>
  <si>
    <t>Contents</t>
  </si>
  <si>
    <t>How To Use</t>
  </si>
  <si>
    <t>Steps, color legend, the four driver formulas and the model rules</t>
  </si>
  <si>
    <t>Inputs</t>
  </si>
  <si>
    <t>Step 1: your products with baseline units and price per unit</t>
  </si>
  <si>
    <t>What-If</t>
  </si>
  <si>
    <t>Step 2: the levers you change: volume, price, mix and timing</t>
  </si>
  <si>
    <t>Dashboard</t>
  </si>
  <si>
    <t>Step 3: the result: revenue bridge, commentary, charts and sensitivity grid</t>
  </si>
  <si>
    <t>Bridge</t>
  </si>
  <si>
    <t>The product by product calculation behind the dashboard</t>
  </si>
  <si>
    <t>Version history</t>
  </si>
  <si>
    <t>Author</t>
  </si>
  <si>
    <t>First release</t>
  </si>
  <si>
    <t>How To Use This Workbook</t>
  </si>
  <si>
    <t>Follow Sam through one real what-if question, then try it on your own products</t>
  </si>
  <si>
    <t>A story in three steps</t>
  </si>
  <si>
    <t>Meet Sam</t>
  </si>
  <si>
    <t>Sam runs finance at Example Manufacturing Co, the business whose figures are already loaded in this workbook. It sells five products: a Standard Unit, a Premium Unit, an Economy Unit, a Spare Parts Kit and a Service Contract. The March budget says revenue should be 16,390,000. Then the managing director asks the question every finance person knows is coming: "What happens to March if we put prices up 3%, but customers buy 5% less?"</t>
  </si>
  <si>
    <t>Sam's problem</t>
  </si>
  <si>
    <t>Sam could rework the whole budget and produce one new total, but the board will not stop at the total. They will want to know why it moved. The answer always comes down to four things. Did we sell more or fewer units? That is Volume. Did we sell them at a higher or lower price? That is Price. Did we sell a different combination of products? That is Mix. Or did some revenue simply land in a different month? That is Timing. This workbook answers all four at once.</t>
  </si>
  <si>
    <t>Step 1: the baseline
(Inputs sheet)</t>
  </si>
  <si>
    <t>Sam opens the Inputs sheet and types in the budget: one line per product, how many units the budget expects to sell, and the price per unit. The workbook multiplies the two to get each product's revenue and works out each product's share of total units, which is its mix. Sam also fills in the company name, the period (March 2027) and what the baseline is called (Budget). That is all the typing the baseline needs.</t>
  </si>
  <si>
    <t>Step 2: the what-if
(What-If sheet)</t>
  </si>
  <si>
    <t>Now Sam plays out the scenario. At the top, Sam gives it a name and sets the Global volume change to -5% and the Global price change to +3%. These two numbers apply to every product. Then Sam adds what the sales team knows product by product: the Standard Unit will lose a further 15% of its volume to a competitor, the Premium Unit will gain 10%, the Economy Unit needs a 2% discount to keep its customers, and the Service Contract can take an extra 5% price increase. Finally, a large customer has asked to delay 1,500 Spare Parts Kits until April, so Sam types -1,500 under Timing units. Every lever is optional: a blank cell means no change.</t>
  </si>
  <si>
    <t>Step 3: the answer
(Dashboard sheet)</t>
  </si>
  <si>
    <t>Sam switches to the Dashboard. The tiles at the top show revenue falling from 16,390,000 to 15,481,776: down 908,224, or 5.5%. The bridge underneath explains why, one driver at a time. Volume costs 1,276,235, because 8,760 fewer units are sold in total. Price adds back 448,201, because most units now sell for more. Mix costs another 10,665, because sales shift slightly toward the cheaper products. Timing takes 69,525 out of March, but that money is not lost: it arrives in April when the delayed kits ship. Beside each line is a sentence in plain language, ready to paste into a board pack.</t>
  </si>
  <si>
    <t>Sam's insight</t>
  </si>
  <si>
    <t>The price increase on its own does not make up for the lost volume. Sam scrolls down to the sensitivity grid, which shows the change in revenue for every combination of overall price and volume change. With no overall loss of volume, a 2.5% price increase would still leave March 168,863 below budget, while a 5% increase would put it 226,775 ahead. Sam walks into the meeting with an answer and the reasons behind it, not just a number.</t>
  </si>
  <si>
    <t>Your turn</t>
  </si>
  <si>
    <t>1. On the Inputs sheet, replace Sam's five products with your own (up to 25) and clear any lines you do not need.
2. On the What-If sheet, start with a single lever, for example a 5% price increase, and look at the Dashboard.
3. Add the other levers one at a time, so you can see exactly what each one does.
4. To explain actuals against budget, type the actual units and prices into the two override columns instead of using percentages.
5. To start again, clear the yellow cells on the What-If sheet. The scenario goes back to the baseline.</t>
  </si>
  <si>
    <t>Remember</t>
  </si>
  <si>
    <t>Only type in the pale yellow cells with blue text; everything else is calculated for you. Sam's numbers are the example loaded in the workbook. As soon as you enter your own data, the Dashboard tells your story instead.</t>
  </si>
  <si>
    <t>Reference</t>
  </si>
  <si>
    <t>The detail behind the story: the color legend, the four formulas and the rules for how the levers combine.</t>
  </si>
  <si>
    <t>Color legend</t>
  </si>
  <si>
    <t>Input</t>
  </si>
  <si>
    <t>Blue text on a pale yellow fill. These are the only cells you type in.</t>
  </si>
  <si>
    <t>Formula</t>
  </si>
  <si>
    <t>Black text. Calculated by the model: do not overwrite.</t>
  </si>
  <si>
    <t>Link</t>
  </si>
  <si>
    <t>Green text. Pulled from another sheet.</t>
  </si>
  <si>
    <t>Favorable / unfavorable</t>
  </si>
  <si>
    <t>Variances show in Teal when they increase revenue and in Orange when they reduce it.</t>
  </si>
  <si>
    <t>Sheets are protected without a password so formulas are not overwritten by accident. Use Review, Unprotect Sheet if you want to change the model itself.</t>
  </si>
  <si>
    <t>The four revenue drivers</t>
  </si>
  <si>
    <t>Volume</t>
  </si>
  <si>
    <t>Volume = (scenario total units - baseline total units) x baseline average price. Baseline average price = baseline revenue / baseline units. It answers: what if we sold more or fewer units in total, at the same mix and the same prices?</t>
  </si>
  <si>
    <t>Price</t>
  </si>
  <si>
    <t>Price = sum over products of scenario units x (scenario price - baseline price). It answers: what did selling at a different rate per unit add or cost us, on the units we actually sell in the scenario?</t>
  </si>
  <si>
    <t>Mix</t>
  </si>
  <si>
    <t>Mix = sum over products of (scenario units - scenario total units x baseline mix %) x baseline price. It answers: what did selling a different combination of products do? A shift toward higher priced lines is favorable, toward lower priced lines unfavorable, even when total units do not change.</t>
  </si>
  <si>
    <t>Timing is revenue that is real but lands in a different period: units pulled into this period (+) or pushed out to a later one (-), valued at the scenario price, plus any other amount such as an invoice billed early. Timing reverses in the period the revenue belongs to.</t>
  </si>
  <si>
    <t>The bridge</t>
  </si>
  <si>
    <t>Baseline revenue + Volume + Price + Mix + Timing = Scenario revenue. The Check row on the Dashboard and the Check column on the Bridge sheet prove the four drivers add up exactly.</t>
  </si>
  <si>
    <t>How the levers combine</t>
  </si>
  <si>
    <t>Scenario units</t>
  </si>
  <si>
    <t>Baseline units x (1 + product volume %) x (1 + global volume %). If you type a units override, the override replaces the baseline x product volume % part and the global volume % still applies on top.</t>
  </si>
  <si>
    <t>Scenario price</t>
  </si>
  <si>
    <t>Baseline price x (1 + product price %) x (1 + global price %). A price override works the same way as a units override.</t>
  </si>
  <si>
    <t>Target mix %</t>
  </si>
  <si>
    <t>Optional. When the Target mix % column totals exactly 100%, total scenario units are re-split across products in those proportions. If it is blank, the mix follows from your volume levers. If it is filled but does not total 100%, it is ignored and the status line on the What-If sheet tells you why.</t>
  </si>
  <si>
    <t>Timing units</t>
  </si>
  <si>
    <t>Enter + for units pulled into the period and - for units pushed out. They are kept outside volume, so a customer delay shows as Timing rather than as lost Volume.</t>
  </si>
  <si>
    <t>New products</t>
  </si>
  <si>
    <t>For a product with no baseline sales, enter 0 baseline units and its planned price per unit. Its scenario revenue then shows as Volume and Mix, and any difference to the planned price as Price.</t>
  </si>
  <si>
    <t>Discontinued lines</t>
  </si>
  <si>
    <t>Set the product volume % to -100%. The lost revenue splits into Volume and Mix.</t>
  </si>
  <si>
    <t>Single period</t>
  </si>
  <si>
    <t>The model compares one period with one period. Use it for a month, a quarter or a year, as long as baseline and scenario cover the same period.</t>
  </si>
  <si>
    <t>From what-if to every month, automatically</t>
  </si>
  <si>
    <t>This workbook shows the method on your own numbers. In Seizmic FP&amp;A, GL, volume, customer and product data sit in one model, so as soon as the actuals land the AI engine in Seizmic FP&amp;A breaks every revenue variance into volume, price, mix and timing, by customer and product, and drafts the commentary for the analyst to review. Read the full guide and worked example at seizmic.ai.</t>
  </si>
  <si>
    <t>seizmic.ai: Beyond 8% behind budget, variance analysis that explains, not just reports</t>
  </si>
  <si>
    <t>Step 1: Baseline Inputs</t>
  </si>
  <si>
    <t>Your products with baseline units and price per unit for one period</t>
  </si>
  <si>
    <t>Company / business unit</t>
  </si>
  <si>
    <t>Example Manufacturing Co</t>
  </si>
  <si>
    <t>Legend</t>
  </si>
  <si>
    <t>Period analyzed</t>
  </si>
  <si>
    <t>March 2027</t>
  </si>
  <si>
    <t>Type here</t>
  </si>
  <si>
    <t>Baseline name</t>
  </si>
  <si>
    <t>Budget</t>
  </si>
  <si>
    <t>Calculated</t>
  </si>
  <si>
    <t>Amount unit</t>
  </si>
  <si>
    <t>Example rows are illustrative: overwrite or clear them.</t>
  </si>
  <si>
    <t>#</t>
  </si>
  <si>
    <t>Product / line</t>
  </si>
  <si>
    <t>Product group
(optional)</t>
  </si>
  <si>
    <t>Baseline units</t>
  </si>
  <si>
    <t>Baseline price
per unit</t>
  </si>
  <si>
    <t>Notes / assumptions</t>
  </si>
  <si>
    <t>Standard Unit</t>
  </si>
  <si>
    <t>Core range</t>
  </si>
  <si>
    <t>Example: budget volume per sales plan</t>
  </si>
  <si>
    <t>Premium Unit</t>
  </si>
  <si>
    <t>Example</t>
  </si>
  <si>
    <t>Economy Unit</t>
  </si>
  <si>
    <t>Value range</t>
  </si>
  <si>
    <t>Spare Parts Kit</t>
  </si>
  <si>
    <t>Aftermarket</t>
  </si>
  <si>
    <t>Service Contract</t>
  </si>
  <si>
    <t>Services</t>
  </si>
  <si>
    <t>Example: annual contracts billed monthly</t>
  </si>
  <si>
    <t>Total</t>
  </si>
  <si>
    <t>Average price</t>
  </si>
  <si>
    <t>Step 2: What-If Levers</t>
  </si>
  <si>
    <t>Change volume, price, mix and timing, globally or per product</t>
  </si>
  <si>
    <t>Scenario name</t>
  </si>
  <si>
    <t>Scenario 1: price increase, volume pressure</t>
  </si>
  <si>
    <t>Applies to every product, on top of the product levers</t>
  </si>
  <si>
    <t>Target mix status</t>
  </si>
  <si>
    <t>Volume levers</t>
  </si>
  <si>
    <t>Price levers</t>
  </si>
  <si>
    <t>Mix lever</t>
  </si>
  <si>
    <t>Timing levers</t>
  </si>
  <si>
    <t>Scenario result</t>
  </si>
  <si>
    <t>Volume
change %</t>
  </si>
  <si>
    <t>Units override
(optional)</t>
  </si>
  <si>
    <t>Price
change %</t>
  </si>
  <si>
    <t>Price override
(optional)</t>
  </si>
  <si>
    <t>Target
mix %
(optional)</t>
  </si>
  <si>
    <t>Timing units
(+ in, - out)</t>
  </si>
  <si>
    <t>Timing amount
(other)</t>
  </si>
  <si>
    <t>Units before
mix</t>
  </si>
  <si>
    <t>Scenario price
per unit</t>
  </si>
  <si>
    <t>Scenario revenue
(underlying)</t>
  </si>
  <si>
    <t>Timing
amount</t>
  </si>
  <si>
    <t>Scenario revenue
(reported)</t>
  </si>
  <si>
    <t>Change vs
baseline</t>
  </si>
  <si>
    <t>Revenue Bridge by Product</t>
  </si>
  <si>
    <t>Volume, Price, Mix and Timing calculated product by product</t>
  </si>
  <si>
    <t>Driver analysis</t>
  </si>
  <si>
    <t>Proof</t>
  </si>
  <si>
    <t>Scenario units at
baseline mix</t>
  </si>
  <si>
    <t>Check
(must be 0)</t>
  </si>
  <si>
    <t>Revenue bridge summary (also feeds the Dashboard chart)</t>
  </si>
  <si>
    <t>Chart: base</t>
  </si>
  <si>
    <t>Chart: increase</t>
  </si>
  <si>
    <t>Chart: decrease</t>
  </si>
  <si>
    <t>Chart: total</t>
  </si>
  <si>
    <t>Check: running total = scenario</t>
  </si>
  <si>
    <t>Change waterfall (chart helper)</t>
  </si>
  <si>
    <t>Sensitivity helpers (feed the Dashboard grid)</t>
  </si>
  <si>
    <t>Cumulative</t>
  </si>
  <si>
    <t>Base +</t>
  </si>
  <si>
    <t>Base -</t>
  </si>
  <si>
    <t>Increase +</t>
  </si>
  <si>
    <t>Increase -</t>
  </si>
  <si>
    <t>Decrease +</t>
  </si>
  <si>
    <t>Decrease -</t>
  </si>
  <si>
    <t>Net</t>
  </si>
  <si>
    <t>Underlying revenue with global levers at zero</t>
  </si>
  <si>
    <t>Timing from units with global price at zero</t>
  </si>
  <si>
    <t>Timing from other amounts</t>
  </si>
  <si>
    <t>Net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</si>
</sst>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quot;-&quot;"/>
    <numFmt numFmtId="165" formatCode="#,##0.00;\(#,##0.00\);&quot;-&quot;"/>
    <numFmt numFmtId="166" formatCode="0.0%;\(0.0%\);&quot;-&quot;"/>
  </numFmts>
  <fonts count="29">
    <font>
      <sz val="11"/>
      <color theme="1"/>
      <name val="Calibri"/>
      <family val="2"/>
      <scheme val="minor"/>
    </font>
    <font>
      <b/>
      <sz val="26"/>
      <color rgb="FFFFFFFF"/>
      <name val="Outfit"/>
    </font>
    <font>
      <sz val="12"/>
      <color rgb="FF70C9CC"/>
      <name val="Outfit"/>
    </font>
    <font>
      <i/>
      <sz val="10"/>
      <color rgb="FFEAEAEA"/>
      <name val="Outfit"/>
    </font>
    <font>
      <b/>
      <sz val="12"/>
      <color rgb="FF05272D"/>
      <name val="Segoe UI"/>
    </font>
    <font>
      <sz val="9.5"/>
      <color rgb="FF333333"/>
      <name val="Aptos"/>
    </font>
    <font>
      <b/>
      <sz val="10"/>
      <color rgb="FF298EA5"/>
      <name val="Segoe UI"/>
    </font>
    <font>
      <b/>
      <sz val="9.5"/>
      <color rgb="FF05272D"/>
      <name val="Aptos"/>
    </font>
    <font>
      <b/>
      <sz val="9"/>
      <color rgb="FF05272D"/>
      <name val="Segoe UI"/>
    </font>
    <font>
      <sz val="9"/>
      <color rgb="FF333333"/>
      <name val="Aptos"/>
    </font>
    <font>
      <b/>
      <u/>
      <sz val="9"/>
      <color rgb="FF298EA5"/>
      <name val="Segoe UI"/>
    </font>
    <font>
      <b/>
      <sz val="9"/>
      <color rgb="FFFFFFFF"/>
      <name val="Segoe UI"/>
    </font>
    <font>
      <b/>
      <sz val="14"/>
      <color rgb="FF05272D"/>
      <name val="Segoe UI"/>
    </font>
    <font>
      <sz val="10"/>
      <color rgb="FF298EA5"/>
      <name val="Segoe UI"/>
    </font>
    <font>
      <b/>
      <sz val="12"/>
      <color rgb="FF298EA5"/>
      <name val="Segoe UI"/>
    </font>
    <font>
      <i/>
      <sz val="9"/>
      <color rgb="FF666666"/>
      <name val="Aptos"/>
    </font>
    <font>
      <sz val="9"/>
      <color rgb="FF0000FF"/>
      <name val="Aptos"/>
    </font>
    <font>
      <sz val="9"/>
      <color rgb="FF008000"/>
      <name val="Aptos"/>
    </font>
    <font>
      <b/>
      <sz val="9"/>
      <color rgb="FF298EA5"/>
      <name val="Aptos"/>
    </font>
    <font>
      <u/>
      <sz val="9"/>
      <color rgb="FF298EA5"/>
      <name val="Aptos"/>
    </font>
    <font>
      <sz val="9"/>
      <color rgb="FF666666"/>
      <name val="Aptos"/>
    </font>
    <font>
      <b/>
      <sz val="9"/>
      <color rgb="FF05272D"/>
      <name val="Aptos"/>
    </font>
    <font>
      <b/>
      <sz val="9"/>
      <color rgb="FF333333"/>
      <name val="Aptos"/>
    </font>
    <font>
      <b/>
      <sz val="11"/>
      <color rgb="FF298EA5"/>
      <name val="Segoe UI"/>
    </font>
    <font>
      <sz val="9"/>
      <color rgb="FF05272D"/>
      <name val="Aptos"/>
    </font>
    <font>
      <b/>
      <sz val="9"/>
      <color rgb="FF70C9CC"/>
      <name val="Segoe UI"/>
    </font>
    <font>
      <b/>
      <sz val="18"/>
      <color rgb="FFFFFFFF"/>
      <name val="Outfit"/>
    </font>
    <font>
      <sz val="8"/>
      <color rgb="FFEAEAEA"/>
      <name val="Segoe UI"/>
    </font>
    <font>
      <b/>
      <sz val="9"/>
      <color rgb="FF0000FF"/>
      <name val="Segoe UI"/>
    </font>
  </fonts>
  <fills count="7">
    <fill>
      <patternFill patternType="none"/>
    </fill>
    <fill>
      <patternFill patternType="gray125"/>
    </fill>
    <fill>
      <patternFill patternType="solid">
        <fgColor rgb="FF05272D"/>
        <bgColor rgb="FF05272D"/>
      </patternFill>
    </fill>
    <fill>
      <patternFill patternType="solid">
        <fgColor rgb="FFFFF8D6"/>
        <bgColor rgb="FFFFF8D6"/>
      </patternFill>
    </fill>
    <fill>
      <patternFill patternType="solid">
        <fgColor rgb="FFEAF7F8"/>
        <bgColor rgb="FFEAF7F8"/>
      </patternFill>
    </fill>
    <fill>
      <patternFill patternType="solid">
        <fgColor rgb="FF298EA5"/>
        <bgColor rgb="FF298EA5"/>
      </patternFill>
    </fill>
    <fill>
      <patternFill patternType="solid">
        <fgColor rgb="FF213C43"/>
        <bgColor rgb="FF213C43"/>
      </patternFill>
    </fill>
  </fills>
  <borders count="26">
    <border>
      <left/>
      <right/>
      <top/>
      <bottom/>
      <diagonal/>
    </border>
    <border>
      <left style="thin">
        <color rgb="FF05272D"/>
      </left>
      <right style="thin">
        <color rgb="FFEAEAEA"/>
      </right>
      <top style="thin">
        <color rgb="FF05272D"/>
      </top>
      <bottom style="thin">
        <color rgb="FFEAEAEA"/>
      </bottom>
      <diagonal/>
    </border>
    <border>
      <left style="thin">
        <color rgb="FFEAEAEA"/>
      </left>
      <right style="thin">
        <color rgb="FFEAEAEA"/>
      </right>
      <top style="thin">
        <color rgb="FF05272D"/>
      </top>
      <bottom style="thin">
        <color rgb="FFEAEAEA"/>
      </bottom>
      <diagonal/>
    </border>
    <border>
      <left style="thin">
        <color rgb="FFEAEAEA"/>
      </left>
      <right style="thin">
        <color rgb="FF05272D"/>
      </right>
      <top style="thin">
        <color rgb="FF05272D"/>
      </top>
      <bottom style="thin">
        <color rgb="FFEAEAEA"/>
      </bottom>
      <diagonal/>
    </border>
    <border>
      <left style="thin">
        <color rgb="FF05272D"/>
      </left>
      <right style="thin">
        <color rgb="FFEAEAEA"/>
      </right>
      <top style="thin">
        <color rgb="FFEAEAEA"/>
      </top>
      <bottom style="thin">
        <color rgb="FF05272D"/>
      </bottom>
      <diagonal/>
    </border>
    <border>
      <left style="thin">
        <color rgb="FFEAEAEA"/>
      </left>
      <right style="thin">
        <color rgb="FFEAEAEA"/>
      </right>
      <top style="thin">
        <color rgb="FFEAEAEA"/>
      </top>
      <bottom style="thin">
        <color rgb="FF05272D"/>
      </bottom>
      <diagonal/>
    </border>
    <border>
      <left style="thin">
        <color rgb="FFEAEAEA"/>
      </left>
      <right style="thin">
        <color rgb="FF05272D"/>
      </right>
      <top style="thin">
        <color rgb="FFEAEAEA"/>
      </top>
      <bottom style="thin">
        <color rgb="FF05272D"/>
      </bottom>
      <diagonal/>
    </border>
    <border>
      <left/>
      <right/>
      <top/>
      <bottom style="medium">
        <color rgb="FF70C9CC"/>
      </bottom>
      <diagonal/>
    </border>
    <border>
      <left style="thin">
        <color rgb="FFEAEAEA"/>
      </left>
      <right style="thin">
        <color rgb="FFEAEAEA"/>
      </right>
      <top style="thin">
        <color rgb="FFEAEAEA"/>
      </top>
      <bottom style="thin">
        <color rgb="FFEAEAEA"/>
      </bottom>
      <diagonal/>
    </border>
    <border>
      <left style="thin">
        <color rgb="FF05272D"/>
      </left>
      <right style="thin">
        <color rgb="FFEAEAEA"/>
      </right>
      <top style="thin">
        <color rgb="FFEAEAEA"/>
      </top>
      <bottom style="thin">
        <color rgb="FFEAEAEA"/>
      </bottom>
      <diagonal/>
    </border>
    <border>
      <left style="thin">
        <color rgb="FFEAEAEA"/>
      </left>
      <right style="thin">
        <color rgb="FF05272D"/>
      </right>
      <top style="thin">
        <color rgb="FFEAEAEA"/>
      </top>
      <bottom style="thin">
        <color rgb="FFEAEAEA"/>
      </bottom>
      <diagonal/>
    </border>
    <border>
      <left style="thin">
        <color rgb="FF05272D"/>
      </left>
      <right style="thin">
        <color rgb="FFEAEAEA"/>
      </right>
      <top style="thin">
        <color rgb="FF05272D"/>
      </top>
      <bottom style="thin">
        <color rgb="FF05272D"/>
      </bottom>
      <diagonal/>
    </border>
    <border>
      <left style="thin">
        <color rgb="FFEAEAEA"/>
      </left>
      <right style="thin">
        <color rgb="FFEAEAEA"/>
      </right>
      <top style="thin">
        <color rgb="FF05272D"/>
      </top>
      <bottom style="thin">
        <color rgb="FF05272D"/>
      </bottom>
      <diagonal/>
    </border>
    <border>
      <left style="thin">
        <color rgb="FFEAEAEA"/>
      </left>
      <right style="thin">
        <color rgb="FF05272D"/>
      </right>
      <top style="thin">
        <color rgb="FF05272D"/>
      </top>
      <bottom style="thin">
        <color rgb="FF05272D"/>
      </bottom>
      <diagonal/>
    </border>
    <border>
      <left style="thin">
        <color rgb="FF05272D"/>
      </left>
      <right style="thin">
        <color rgb="FF05272D"/>
      </right>
      <top style="thin">
        <color rgb="FF05272D"/>
      </top>
      <bottom style="thin">
        <color rgb="FFEAEAEA"/>
      </bottom>
      <diagonal/>
    </border>
    <border>
      <left style="thin">
        <color rgb="FF05272D"/>
      </left>
      <right style="thin">
        <color rgb="FF05272D"/>
      </right>
      <top style="thin">
        <color rgb="FFEAEAEA"/>
      </top>
      <bottom style="thin">
        <color rgb="FFEAEAEA"/>
      </bottom>
      <diagonal/>
    </border>
    <border>
      <left style="thin">
        <color rgb="FF05272D"/>
      </left>
      <right style="thin">
        <color rgb="FF05272D"/>
      </right>
      <top style="thin">
        <color rgb="FFEAEAEA"/>
      </top>
      <bottom style="thin">
        <color rgb="FF05272D"/>
      </bottom>
      <diagonal/>
    </border>
    <border>
      <left style="thin">
        <color rgb="FF213C43"/>
      </left>
      <right style="thin">
        <color rgb="FFEAEAEA"/>
      </right>
      <top style="thin">
        <color rgb="FF213C43"/>
      </top>
      <bottom style="thin">
        <color rgb="FFEAEAEA"/>
      </bottom>
      <diagonal/>
    </border>
    <border>
      <left style="thin">
        <color rgb="FFEAEAEA"/>
      </left>
      <right style="thin">
        <color rgb="FFEAEAEA"/>
      </right>
      <top style="thin">
        <color rgb="FF213C43"/>
      </top>
      <bottom style="thin">
        <color rgb="FFEAEAEA"/>
      </bottom>
      <diagonal/>
    </border>
    <border>
      <left style="thin">
        <color rgb="FFEAEAEA"/>
      </left>
      <right style="thin">
        <color rgb="FF213C43"/>
      </right>
      <top style="thin">
        <color rgb="FF213C43"/>
      </top>
      <bottom style="thin">
        <color rgb="FFEAEAEA"/>
      </bottom>
      <diagonal/>
    </border>
    <border>
      <left style="thin">
        <color rgb="FF213C43"/>
      </left>
      <right style="thin">
        <color rgb="FFEAEAEA"/>
      </right>
      <top style="thin">
        <color rgb="FFEAEAEA"/>
      </top>
      <bottom style="thin">
        <color rgb="FFEAEAEA"/>
      </bottom>
      <diagonal/>
    </border>
    <border>
      <left style="thin">
        <color rgb="FFEAEAEA"/>
      </left>
      <right style="thin">
        <color rgb="FF213C43"/>
      </right>
      <top style="thin">
        <color rgb="FFEAEAEA"/>
      </top>
      <bottom style="thin">
        <color rgb="FFEAEAEA"/>
      </bottom>
      <diagonal/>
    </border>
    <border>
      <left style="thin">
        <color rgb="FF05272D"/>
      </left>
      <right style="thin">
        <color rgb="FF05272D"/>
      </right>
      <top style="thin">
        <color rgb="FF05272D"/>
      </top>
      <bottom style="thin">
        <color rgb="FF05272D"/>
      </bottom>
      <diagonal/>
    </border>
    <border>
      <left style="thin">
        <color rgb="FF213C43"/>
      </left>
      <right style="thin">
        <color rgb="FFEAEAEA"/>
      </right>
      <top style="thin">
        <color rgb="FF05272D"/>
      </top>
      <bottom style="thin">
        <color rgb="FF05272D"/>
      </bottom>
      <diagonal/>
    </border>
    <border>
      <left style="thin">
        <color rgb="FFEAEAEA"/>
      </left>
      <right style="thin">
        <color rgb="FF213C43"/>
      </right>
      <top style="thin">
        <color rgb="FF05272D"/>
      </top>
      <bottom style="thin">
        <color rgb="FF05272D"/>
      </bottom>
      <diagonal/>
    </border>
    <border>
      <left/>
      <right style="thick">
        <color rgb="FFFFFFFF"/>
      </right>
      <top/>
      <bottom/>
      <diagonal/>
    </border>
  </borders>
  <cellStyleXfs count="1">
    <xf numFmtId="0" fontId="0" fillId="0" borderId="0"/>
  </cellStyleXfs>
  <cellXfs count="167">
    <xf numFmtId="0" fontId="0" fillId="0" borderId="0" xfId="0"/>
    <xf numFmtId="0" fontId="0" fillId="2" borderId="0" xfId="0" applyFill="1"/>
    <xf numFmtId="0" fontId="1" fillId="2" borderId="0" xfId="0" applyFont="1" applyFill="1"/>
    <xf numFmtId="0" fontId="2" fillId="2" borderId="0" xfId="0" applyFont="1" applyFill="1"/>
    <xf numFmtId="0" fontId="3" fillId="2" borderId="0" xfId="0" applyFont="1" applyFill="1"/>
    <xf numFmtId="0" fontId="4" fillId="0" borderId="0" xfId="0" applyFont="1"/>
    <xf numFmtId="0" fontId="6" fillId="0" borderId="0" xfId="0" applyFont="1"/>
    <xf numFmtId="0" fontId="8" fillId="0" borderId="0" xfId="0" applyFont="1"/>
    <xf numFmtId="0" fontId="9" fillId="0" borderId="0" xfId="0" applyFont="1"/>
    <xf numFmtId="0" fontId="10" fillId="0" borderId="0" xfId="0" applyFont="1"/>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9" fillId="0" borderId="4" xfId="0" applyFont="1" applyBorder="1"/>
    <xf numFmtId="0" fontId="9" fillId="0" borderId="5" xfId="0" applyFont="1" applyBorder="1"/>
    <xf numFmtId="0" fontId="0" fillId="0" borderId="5" xfId="0" applyBorder="1"/>
    <xf numFmtId="0" fontId="0" fillId="0" borderId="6" xfId="0" applyBorder="1"/>
    <xf numFmtId="0" fontId="12" fillId="0" borderId="0" xfId="0" applyFont="1"/>
    <xf numFmtId="0" fontId="13" fillId="0" borderId="7" xfId="0" applyFont="1" applyBorder="1"/>
    <xf numFmtId="0" fontId="0" fillId="0" borderId="7" xfId="0" applyBorder="1"/>
    <xf numFmtId="0" fontId="14" fillId="0" borderId="0" xfId="0" applyFont="1"/>
    <xf numFmtId="0" fontId="8" fillId="0" borderId="0" xfId="0" applyFont="1" applyAlignment="1">
      <alignment vertical="top" wrapText="1"/>
    </xf>
    <xf numFmtId="0" fontId="9" fillId="0" borderId="0" xfId="0" applyFont="1" applyAlignment="1">
      <alignment vertical="top" wrapText="1"/>
    </xf>
    <xf numFmtId="0" fontId="15" fillId="0" borderId="0" xfId="0" applyFont="1"/>
    <xf numFmtId="0" fontId="16" fillId="3" borderId="8" xfId="0" applyFont="1" applyFill="1" applyBorder="1"/>
    <xf numFmtId="0" fontId="9" fillId="0" borderId="8" xfId="0" applyFont="1" applyBorder="1"/>
    <xf numFmtId="0" fontId="17" fillId="0" borderId="8" xfId="0" applyFont="1" applyBorder="1"/>
    <xf numFmtId="0" fontId="18" fillId="0" borderId="8" xfId="0" applyFont="1" applyBorder="1"/>
    <xf numFmtId="0" fontId="19" fillId="0" borderId="0" xfId="0" applyFont="1"/>
    <xf numFmtId="0" fontId="25" fillId="6" borderId="25" xfId="0" applyFont="1" applyFill="1" applyBorder="1" applyAlignment="1">
      <alignment horizontal="left" vertical="center" indent="1"/>
    </xf>
    <xf numFmtId="164" fontId="26" fillId="6" borderId="25" xfId="0" applyNumberFormat="1" applyFont="1" applyFill="1" applyBorder="1" applyAlignment="1">
      <alignment horizontal="left" vertical="center" indent="1"/>
    </xf>
    <xf numFmtId="0" fontId="27" fillId="6" borderId="25" xfId="0" applyFont="1" applyFill="1" applyBorder="1" applyAlignment="1">
      <alignment horizontal="left" vertical="center" indent="1"/>
    </xf>
    <xf numFmtId="0" fontId="11" fillId="2" borderId="3" xfId="0" applyFont="1" applyFill="1" applyBorder="1" applyAlignment="1">
      <alignment horizontal="center" vertical="center" wrapText="1"/>
    </xf>
    <xf numFmtId="0" fontId="21" fillId="4" borderId="9" xfId="0" applyFont="1" applyFill="1" applyBorder="1" applyAlignment="1">
      <alignment horizontal="left" vertical="center"/>
    </xf>
    <xf numFmtId="164" fontId="21" fillId="4" borderId="8" xfId="0" applyNumberFormat="1" applyFont="1" applyFill="1" applyBorder="1" applyAlignment="1">
      <alignment horizontal="right" vertical="center"/>
    </xf>
    <xf numFmtId="166" fontId="21" fillId="4" borderId="10" xfId="0" applyNumberFormat="1" applyFont="1" applyFill="1" applyBorder="1" applyAlignment="1">
      <alignment horizontal="right" vertical="center"/>
    </xf>
    <xf numFmtId="0" fontId="9" fillId="0" borderId="9" xfId="0" applyFont="1" applyBorder="1" applyAlignment="1">
      <alignment horizontal="left" vertical="center"/>
    </xf>
    <xf numFmtId="164" fontId="9" fillId="0" borderId="8" xfId="0" applyNumberFormat="1" applyFont="1" applyBorder="1" applyAlignment="1">
      <alignment horizontal="right" vertical="center"/>
    </xf>
    <xf numFmtId="166" fontId="9" fillId="0" borderId="10" xfId="0" applyNumberFormat="1" applyFont="1" applyBorder="1" applyAlignment="1">
      <alignment horizontal="right" vertical="center"/>
    </xf>
    <xf numFmtId="0" fontId="21" fillId="4" borderId="4" xfId="0" applyFont="1" applyFill="1" applyBorder="1" applyAlignment="1">
      <alignment horizontal="left" vertical="center"/>
    </xf>
    <xf numFmtId="164" fontId="21" fillId="4" borderId="5" xfId="0" applyNumberFormat="1" applyFont="1" applyFill="1" applyBorder="1" applyAlignment="1">
      <alignment horizontal="right" vertical="center"/>
    </xf>
    <xf numFmtId="166" fontId="21" fillId="4" borderId="6" xfId="0" applyNumberFormat="1" applyFont="1" applyFill="1" applyBorder="1" applyAlignment="1">
      <alignment horizontal="right" vertical="center"/>
    </xf>
    <xf numFmtId="164" fontId="20" fillId="0" borderId="0" xfId="0" applyNumberFormat="1" applyFont="1"/>
    <xf numFmtId="0" fontId="24" fillId="0" borderId="9" xfId="0" applyFont="1" applyBorder="1"/>
    <xf numFmtId="164" fontId="9" fillId="0" borderId="8" xfId="0" applyNumberFormat="1" applyFont="1" applyBorder="1"/>
    <xf numFmtId="166" fontId="9" fillId="0" borderId="10" xfId="0" applyNumberFormat="1" applyFont="1" applyBorder="1"/>
    <xf numFmtId="0" fontId="20" fillId="0" borderId="9" xfId="0" applyFont="1" applyBorder="1" applyAlignment="1">
      <alignment horizontal="center"/>
    </xf>
    <xf numFmtId="166" fontId="9" fillId="0" borderId="8" xfId="0" applyNumberFormat="1" applyFont="1" applyBorder="1"/>
    <xf numFmtId="165" fontId="9" fillId="0" borderId="8" xfId="0" applyNumberFormat="1" applyFont="1" applyBorder="1"/>
    <xf numFmtId="0" fontId="21" fillId="4" borderId="4" xfId="0" applyFont="1" applyFill="1" applyBorder="1"/>
    <xf numFmtId="164" fontId="22" fillId="4" borderId="5" xfId="0" applyNumberFormat="1" applyFont="1" applyFill="1" applyBorder="1"/>
    <xf numFmtId="166" fontId="22" fillId="4" borderId="6" xfId="0" applyNumberFormat="1" applyFont="1" applyFill="1" applyBorder="1"/>
    <xf numFmtId="0" fontId="20" fillId="0" borderId="4" xfId="0" applyFont="1" applyBorder="1" applyAlignment="1">
      <alignment horizontal="center"/>
    </xf>
    <xf numFmtId="164" fontId="9" fillId="0" borderId="5" xfId="0" applyNumberFormat="1" applyFont="1" applyBorder="1"/>
    <xf numFmtId="166" fontId="9" fillId="0" borderId="5" xfId="0" applyNumberFormat="1" applyFont="1" applyBorder="1"/>
    <xf numFmtId="166" fontId="9" fillId="0" borderId="6" xfId="0" applyNumberFormat="1" applyFont="1" applyBorder="1"/>
    <xf numFmtId="0" fontId="11" fillId="2" borderId="14" xfId="0" applyFont="1" applyFill="1" applyBorder="1"/>
    <xf numFmtId="166" fontId="28" fillId="3" borderId="9" xfId="0" applyNumberFormat="1" applyFont="1" applyFill="1" applyBorder="1" applyAlignment="1" applyProtection="1">
      <alignment horizontal="center"/>
      <protection locked="0"/>
    </xf>
    <xf numFmtId="166" fontId="28" fillId="3" borderId="8" xfId="0" applyNumberFormat="1" applyFont="1" applyFill="1" applyBorder="1" applyAlignment="1" applyProtection="1">
      <alignment horizontal="center"/>
      <protection locked="0"/>
    </xf>
    <xf numFmtId="166" fontId="28" fillId="3" borderId="10" xfId="0" applyNumberFormat="1" applyFont="1" applyFill="1" applyBorder="1" applyAlignment="1" applyProtection="1">
      <alignment horizontal="center"/>
      <protection locked="0"/>
    </xf>
    <xf numFmtId="166" fontId="28" fillId="3" borderId="15" xfId="0" applyNumberFormat="1" applyFont="1" applyFill="1" applyBorder="1" applyAlignment="1" applyProtection="1">
      <alignment horizontal="center"/>
      <protection locked="0"/>
    </xf>
    <xf numFmtId="164" fontId="9" fillId="0" borderId="9" xfId="0" applyNumberFormat="1" applyFont="1" applyBorder="1" applyAlignment="1">
      <alignment horizontal="right"/>
    </xf>
    <xf numFmtId="164" fontId="9" fillId="0" borderId="8" xfId="0" applyNumberFormat="1" applyFont="1" applyBorder="1" applyAlignment="1">
      <alignment horizontal="right"/>
    </xf>
    <xf numFmtId="164" fontId="9" fillId="0" borderId="10" xfId="0" applyNumberFormat="1" applyFont="1" applyBorder="1" applyAlignment="1">
      <alignment horizontal="right"/>
    </xf>
    <xf numFmtId="166" fontId="28" fillId="3" borderId="16" xfId="0" applyNumberFormat="1" applyFont="1" applyFill="1" applyBorder="1" applyAlignment="1" applyProtection="1">
      <alignment horizontal="center"/>
      <protection locked="0"/>
    </xf>
    <xf numFmtId="164" fontId="9" fillId="0" borderId="4" xfId="0" applyNumberFormat="1" applyFont="1" applyBorder="1" applyAlignment="1">
      <alignment horizontal="right"/>
    </xf>
    <xf numFmtId="164" fontId="9" fillId="0" borderId="5" xfId="0" applyNumberFormat="1" applyFont="1" applyBorder="1" applyAlignment="1">
      <alignment horizontal="right"/>
    </xf>
    <xf numFmtId="164" fontId="9" fillId="0" borderId="6" xfId="0" applyNumberFormat="1" applyFont="1" applyBorder="1" applyAlignment="1">
      <alignment horizontal="right"/>
    </xf>
    <xf numFmtId="0" fontId="16" fillId="3" borderId="8" xfId="0" applyFont="1" applyFill="1" applyBorder="1" applyProtection="1">
      <protection locked="0"/>
    </xf>
    <xf numFmtId="0" fontId="16" fillId="3" borderId="0" xfId="0" applyFont="1" applyFill="1"/>
    <xf numFmtId="0" fontId="20" fillId="0" borderId="0" xfId="0" applyFont="1"/>
    <xf numFmtId="164" fontId="16" fillId="3" borderId="8" xfId="0" applyNumberFormat="1" applyFont="1" applyFill="1" applyBorder="1" applyProtection="1">
      <protection locked="0"/>
    </xf>
    <xf numFmtId="165" fontId="16" fillId="3" borderId="8" xfId="0" applyNumberFormat="1" applyFont="1" applyFill="1" applyBorder="1" applyProtection="1">
      <protection locked="0"/>
    </xf>
    <xf numFmtId="0" fontId="16" fillId="3" borderId="10" xfId="0" applyFont="1" applyFill="1" applyBorder="1" applyProtection="1">
      <protection locked="0"/>
    </xf>
    <xf numFmtId="0" fontId="21" fillId="4" borderId="11" xfId="0" applyFont="1" applyFill="1" applyBorder="1"/>
    <xf numFmtId="0" fontId="21" fillId="4" borderId="12" xfId="0" applyFont="1" applyFill="1" applyBorder="1"/>
    <xf numFmtId="164" fontId="21" fillId="4" borderId="12" xfId="0" applyNumberFormat="1" applyFont="1" applyFill="1" applyBorder="1"/>
    <xf numFmtId="165" fontId="21" fillId="4" borderId="12" xfId="0" applyNumberFormat="1" applyFont="1" applyFill="1" applyBorder="1"/>
    <xf numFmtId="166" fontId="21" fillId="4" borderId="12" xfId="0" applyNumberFormat="1" applyFont="1" applyFill="1" applyBorder="1"/>
    <xf numFmtId="0" fontId="21" fillId="4" borderId="13" xfId="0" applyFont="1" applyFill="1" applyBorder="1"/>
    <xf numFmtId="0" fontId="15" fillId="0" borderId="0" xfId="0" applyFont="1" applyAlignment="1">
      <alignment horizontal="right"/>
    </xf>
    <xf numFmtId="166" fontId="16" fillId="3" borderId="8" xfId="0" applyNumberFormat="1" applyFont="1" applyFill="1" applyBorder="1" applyProtection="1">
      <protection locked="0"/>
    </xf>
    <xf numFmtId="0" fontId="21" fillId="0" borderId="0" xfId="0" applyFont="1" applyAlignment="1">
      <alignment horizontal="center"/>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17" fillId="0" borderId="10" xfId="0" applyFont="1" applyBorder="1"/>
    <xf numFmtId="164" fontId="17" fillId="0" borderId="9" xfId="0" applyNumberFormat="1" applyFont="1" applyBorder="1"/>
    <xf numFmtId="165" fontId="17" fillId="0" borderId="10" xfId="0" applyNumberFormat="1" applyFont="1" applyBorder="1"/>
    <xf numFmtId="166" fontId="16" fillId="3" borderId="9" xfId="0" applyNumberFormat="1" applyFont="1" applyFill="1" applyBorder="1" applyProtection="1">
      <protection locked="0"/>
    </xf>
    <xf numFmtId="164" fontId="16" fillId="3" borderId="10" xfId="0" applyNumberFormat="1" applyFont="1" applyFill="1" applyBorder="1" applyProtection="1">
      <protection locked="0"/>
    </xf>
    <xf numFmtId="165" fontId="16" fillId="3" borderId="10" xfId="0" applyNumberFormat="1" applyFont="1" applyFill="1" applyBorder="1" applyProtection="1">
      <protection locked="0"/>
    </xf>
    <xf numFmtId="166" fontId="16" fillId="3" borderId="15" xfId="0" applyNumberFormat="1" applyFont="1" applyFill="1" applyBorder="1" applyProtection="1">
      <protection locked="0"/>
    </xf>
    <xf numFmtId="164" fontId="16" fillId="3" borderId="9" xfId="0" applyNumberFormat="1" applyFont="1" applyFill="1" applyBorder="1" applyProtection="1">
      <protection locked="0"/>
    </xf>
    <xf numFmtId="164" fontId="9" fillId="0" borderId="20" xfId="0" applyNumberFormat="1" applyFont="1" applyBorder="1"/>
    <xf numFmtId="164" fontId="9" fillId="0" borderId="21" xfId="0" applyNumberFormat="1" applyFont="1" applyBorder="1"/>
    <xf numFmtId="164" fontId="21" fillId="4" borderId="11" xfId="0" applyNumberFormat="1" applyFont="1" applyFill="1" applyBorder="1"/>
    <xf numFmtId="165" fontId="21" fillId="4" borderId="13" xfId="0" applyNumberFormat="1" applyFont="1" applyFill="1" applyBorder="1"/>
    <xf numFmtId="164" fontId="21" fillId="4" borderId="13" xfId="0" applyNumberFormat="1" applyFont="1" applyFill="1" applyBorder="1"/>
    <xf numFmtId="166" fontId="21" fillId="4" borderId="22" xfId="0" applyNumberFormat="1" applyFont="1" applyFill="1" applyBorder="1"/>
    <xf numFmtId="164" fontId="21" fillId="4" borderId="23" xfId="0" applyNumberFormat="1" applyFont="1" applyFill="1" applyBorder="1"/>
    <xf numFmtId="164" fontId="21" fillId="4" borderId="24" xfId="0" applyNumberFormat="1" applyFont="1" applyFill="1" applyBorder="1"/>
    <xf numFmtId="0" fontId="11" fillId="2" borderId="8" xfId="0" applyFont="1" applyFill="1" applyBorder="1" applyAlignment="1">
      <alignment horizontal="center" vertical="center" wrapText="1"/>
    </xf>
    <xf numFmtId="165" fontId="17" fillId="0" borderId="8" xfId="0" applyNumberFormat="1" applyFont="1" applyBorder="1"/>
    <xf numFmtId="164" fontId="17" fillId="0" borderId="8" xfId="0" applyNumberFormat="1" applyFont="1" applyBorder="1"/>
    <xf numFmtId="164" fontId="22" fillId="0" borderId="21" xfId="0" applyNumberFormat="1" applyFont="1" applyBorder="1"/>
    <xf numFmtId="164" fontId="20" fillId="0" borderId="15" xfId="0" applyNumberFormat="1" applyFont="1" applyBorder="1"/>
    <xf numFmtId="166" fontId="21" fillId="4" borderId="13" xfId="0" applyNumberFormat="1" applyFont="1" applyFill="1" applyBorder="1"/>
    <xf numFmtId="164" fontId="21" fillId="4" borderId="22" xfId="0" applyNumberFormat="1" applyFont="1" applyFill="1" applyBorder="1"/>
    <xf numFmtId="0" fontId="23" fillId="0" borderId="0" xfId="0" applyFont="1"/>
    <xf numFmtId="0" fontId="0" fillId="0" borderId="9" xfId="0" applyBorder="1"/>
    <xf numFmtId="0" fontId="21" fillId="0" borderId="8" xfId="0" applyFont="1" applyBorder="1"/>
    <xf numFmtId="164" fontId="22" fillId="0" borderId="8" xfId="0" applyNumberFormat="1" applyFont="1" applyBorder="1"/>
    <xf numFmtId="164" fontId="20" fillId="0" borderId="8" xfId="0" applyNumberFormat="1" applyFont="1" applyBorder="1"/>
    <xf numFmtId="164" fontId="20" fillId="0" borderId="10" xfId="0" applyNumberFormat="1" applyFont="1" applyBorder="1"/>
    <xf numFmtId="0" fontId="24" fillId="0" borderId="8" xfId="0" applyFont="1" applyBorder="1"/>
    <xf numFmtId="0" fontId="0" fillId="0" borderId="4" xfId="0" applyBorder="1"/>
    <xf numFmtId="0" fontId="20" fillId="0" borderId="5" xfId="0" applyFont="1" applyBorder="1"/>
    <xf numFmtId="164" fontId="20" fillId="0" borderId="5" xfId="0" applyNumberFormat="1" applyFont="1" applyBorder="1"/>
    <xf numFmtId="0" fontId="24" fillId="0" borderId="1" xfId="0" applyFont="1" applyBorder="1" applyAlignment="1">
      <alignment wrapText="1"/>
    </xf>
    <xf numFmtId="164" fontId="9" fillId="0" borderId="3" xfId="0" applyNumberFormat="1" applyFont="1" applyBorder="1"/>
    <xf numFmtId="0" fontId="24" fillId="0" borderId="9" xfId="0" applyFont="1" applyBorder="1" applyAlignment="1">
      <alignment wrapText="1"/>
    </xf>
    <xf numFmtId="164" fontId="9" fillId="0" borderId="10" xfId="0" applyNumberFormat="1" applyFont="1" applyBorder="1"/>
    <xf numFmtId="0" fontId="24" fillId="0" borderId="4" xfId="0" applyFont="1" applyBorder="1" applyAlignment="1">
      <alignment wrapText="1"/>
    </xf>
    <xf numFmtId="164" fontId="9" fillId="0" borderId="6" xfId="0" applyNumberFormat="1" applyFont="1" applyBorder="1"/>
    <xf numFmtId="0" fontId="21" fillId="0" borderId="4" xfId="0" applyFont="1" applyBorder="1"/>
    <xf numFmtId="164" fontId="20" fillId="0" borderId="6" xfId="0" applyNumberFormat="1" applyFont="1" applyBorder="1"/>
    <xf numFmtId="0" fontId="25" fillId="6" borderId="0" xfId="0" applyFont="1" applyFill="1" applyAlignment="1">
      <alignment horizontal="left" vertical="center" indent="1"/>
    </xf>
    <xf numFmtId="0" fontId="0" fillId="6" borderId="25" xfId="0" applyFill="1" applyBorder="1"/>
    <xf numFmtId="0" fontId="11" fillId="2" borderId="1" xfId="0" applyFont="1" applyFill="1" applyBorder="1" applyAlignment="1">
      <alignment horizontal="center" vertical="center" wrapText="1"/>
    </xf>
    <xf numFmtId="0" fontId="0" fillId="0" borderId="2" xfId="0" applyBorder="1"/>
    <xf numFmtId="0" fontId="0" fillId="0" borderId="3" xfId="0" applyBorder="1"/>
    <xf numFmtId="0" fontId="9" fillId="0" borderId="9" xfId="0" applyFont="1" applyBorder="1" applyAlignment="1">
      <alignment vertical="center" wrapText="1" indent="1"/>
    </xf>
    <xf numFmtId="0" fontId="9" fillId="0" borderId="8" xfId="0" applyFont="1" applyBorder="1"/>
    <xf numFmtId="0" fontId="9" fillId="0" borderId="10" xfId="0" applyFont="1" applyBorder="1"/>
    <xf numFmtId="0" fontId="9" fillId="0" borderId="5" xfId="0" applyFont="1" applyBorder="1"/>
    <xf numFmtId="0" fontId="0" fillId="0" borderId="5" xfId="0" applyBorder="1"/>
    <xf numFmtId="0" fontId="27" fillId="6" borderId="0" xfId="0" applyFont="1" applyFill="1" applyAlignment="1">
      <alignment horizontal="left" vertical="center" indent="1"/>
    </xf>
    <xf numFmtId="0" fontId="0" fillId="0" borderId="8" xfId="0" applyBorder="1"/>
    <xf numFmtId="0" fontId="0" fillId="6" borderId="0" xfId="0" applyFill="1"/>
    <xf numFmtId="0" fontId="21" fillId="4" borderId="9" xfId="0" applyFont="1" applyFill="1" applyBorder="1" applyAlignment="1">
      <alignment vertical="center" wrapText="1" indent="1"/>
    </xf>
    <xf numFmtId="0" fontId="21" fillId="4" borderId="8" xfId="0" applyFont="1" applyFill="1" applyBorder="1"/>
    <xf numFmtId="0" fontId="21" fillId="4" borderId="10" xfId="0" applyFont="1" applyFill="1" applyBorder="1"/>
    <xf numFmtId="166" fontId="26" fillId="6" borderId="0" xfId="0" applyNumberFormat="1" applyFont="1" applyFill="1" applyAlignment="1">
      <alignment horizontal="left" vertical="center" indent="1"/>
    </xf>
    <xf numFmtId="164" fontId="26" fillId="6" borderId="0" xfId="0" applyNumberFormat="1" applyFont="1" applyFill="1" applyAlignment="1">
      <alignment horizontal="left" vertical="center" indent="1"/>
    </xf>
    <xf numFmtId="0" fontId="11" fillId="2" borderId="2" xfId="0" applyFont="1" applyFill="1" applyBorder="1" applyAlignment="1">
      <alignment horizontal="center" vertical="center" wrapText="1"/>
    </xf>
    <xf numFmtId="0" fontId="21" fillId="4" borderId="4" xfId="0" applyFont="1" applyFill="1" applyBorder="1" applyAlignment="1">
      <alignment vertical="center" wrapText="1" indent="1"/>
    </xf>
    <xf numFmtId="0" fontId="21" fillId="4" borderId="5" xfId="0" applyFont="1" applyFill="1" applyBorder="1"/>
    <xf numFmtId="0" fontId="21" fillId="4" borderId="6" xfId="0" applyFont="1" applyFill="1" applyBorder="1"/>
    <xf numFmtId="0" fontId="11" fillId="5" borderId="1" xfId="0" applyFont="1" applyFill="1" applyBorder="1" applyAlignment="1">
      <alignment horizontal="center"/>
    </xf>
    <xf numFmtId="0" fontId="0" fillId="5" borderId="2" xfId="0" applyFill="1" applyBorder="1"/>
    <xf numFmtId="0" fontId="0" fillId="5" borderId="3" xfId="0" applyFill="1" applyBorder="1"/>
    <xf numFmtId="0" fontId="5" fillId="0" borderId="0" xfId="0" applyFont="1" applyAlignment="1">
      <alignment vertical="top" wrapText="1" indent="1"/>
    </xf>
    <xf numFmtId="0" fontId="0" fillId="0" borderId="0" xfId="0"/>
    <xf numFmtId="0" fontId="5" fillId="0" borderId="0" xfId="0" applyFont="1" applyAlignment="1">
      <alignment vertical="top" wrapText="1"/>
    </xf>
    <xf numFmtId="0" fontId="7" fillId="0" borderId="0" xfId="0" applyFont="1" applyAlignment="1">
      <alignment vertical="top" wrapText="1"/>
    </xf>
    <xf numFmtId="0" fontId="0" fillId="0" borderId="6" xfId="0" applyBorder="1"/>
    <xf numFmtId="0" fontId="16" fillId="3" borderId="8" xfId="0" applyFont="1" applyFill="1" applyBorder="1" applyProtection="1">
      <protection locked="0"/>
    </xf>
    <xf numFmtId="0" fontId="0" fillId="0" borderId="8" xfId="0" applyBorder="1" applyProtection="1">
      <protection locked="0"/>
    </xf>
    <xf numFmtId="0" fontId="11" fillId="5" borderId="1" xfId="0" applyFont="1" applyFill="1" applyBorder="1" applyAlignment="1">
      <alignment horizontal="center" vertical="center"/>
    </xf>
    <xf numFmtId="0" fontId="0" fillId="0" borderId="0" xfId="0" applyProtection="1">
      <protection locked="0"/>
    </xf>
    <xf numFmtId="0" fontId="11" fillId="5" borderId="14" xfId="0" applyFont="1" applyFill="1" applyBorder="1" applyAlignment="1">
      <alignment horizontal="center" vertical="center"/>
    </xf>
    <xf numFmtId="0" fontId="11" fillId="6" borderId="17" xfId="0" applyFont="1" applyFill="1" applyBorder="1" applyAlignment="1">
      <alignment horizontal="center" vertical="center"/>
    </xf>
    <xf numFmtId="0" fontId="0" fillId="6" borderId="18" xfId="0" applyFill="1" applyBorder="1"/>
    <xf numFmtId="0" fontId="0" fillId="6" borderId="19" xfId="0" applyFill="1" applyBorder="1"/>
  </cellXfs>
  <cellStyles count="1">
    <cellStyle name="Normal" xfId="0" builtinId="0"/>
  </cellStyles>
  <dxfs count="17">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color rgb="FFF16922"/>
      </font>
    </dxf>
    <dxf>
      <font>
        <color rgb="FF298EA5"/>
      </font>
    </dxf>
    <dxf>
      <font>
        <b/>
        <color rgb="FF05272D"/>
      </font>
      <fill>
        <patternFill patternType="solid">
          <fgColor rgb="FFE1E33F"/>
          <bgColor rgb="FFE1E33F"/>
        </patternFill>
      </fill>
      <border>
        <left style="thin">
          <color rgb="FF05272D"/>
        </left>
        <right style="thin">
          <color rgb="FF05272D"/>
        </right>
        <top style="thin">
          <color rgb="FF05272D"/>
        </top>
        <bottom style="thin">
          <color rgb="FF05272D"/>
        </bottom>
      </border>
    </dxf>
    <dxf>
      <font>
        <color rgb="FFF16922"/>
      </font>
    </dxf>
    <dxf>
      <font>
        <color rgb="FF298EA5"/>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05272D"/>
                </a:solidFill>
                <a:latin typeface="Segoe UI"/>
              </a:defRPr>
            </a:pPr>
            <a:r>
              <a:rPr sz="1100" b="1">
                <a:solidFill>
                  <a:srgbClr val="05272D"/>
                </a:solidFill>
                <a:latin typeface="Segoe UI"/>
              </a:rPr>
              <a:t>Change in revenue by driver (thousands)</a:t>
            </a:r>
          </a:p>
        </c:rich>
      </c:tx>
      <c:overlay val="0"/>
    </c:title>
    <c:autoTitleDeleted val="0"/>
    <c:plotArea>
      <c:layout/>
      <c:barChart>
        <c:barDir val="col"/>
        <c:grouping val="stacked"/>
        <c:varyColors val="1"/>
        <c:ser>
          <c:idx val="0"/>
          <c:order val="0"/>
          <c:tx>
            <c:strRef>
              <c:f>Bridge!$N$45</c:f>
              <c:strCache>
                <c:ptCount val="1"/>
                <c:pt idx="0">
                  <c:v>Base +</c:v>
                </c:pt>
              </c:strCache>
            </c:strRef>
          </c:tx>
          <c:spPr>
            <a:noFill/>
            <a:ln>
              <a:noFill/>
              <a:prstDash val="solid"/>
            </a:ln>
          </c:spPr>
          <c:invertIfNegative val="0"/>
          <c:cat>
            <c:strRef>
              <c:f>Bridge!$K$46:$K$50</c:f>
              <c:strCache>
                <c:ptCount val="5"/>
                <c:pt idx="0">
                  <c:v>Volume</c:v>
                </c:pt>
                <c:pt idx="1">
                  <c:v>Price</c:v>
                </c:pt>
                <c:pt idx="2">
                  <c:v>Mix</c:v>
                </c:pt>
                <c:pt idx="3">
                  <c:v>Timing</c:v>
                </c:pt>
                <c:pt idx="4">
                  <c:v>Net change</c:v>
                </c:pt>
              </c:strCache>
            </c:strRef>
          </c:cat>
          <c:val>
            <c:numRef>
              <c:f>Bridge!$N$46:$N$50</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065-4C92-8F28-7A8D4754941F}"/>
            </c:ext>
          </c:extLst>
        </c:ser>
        <c:ser>
          <c:idx val="1"/>
          <c:order val="1"/>
          <c:tx>
            <c:strRef>
              <c:f>Bridge!$O$45</c:f>
              <c:strCache>
                <c:ptCount val="1"/>
                <c:pt idx="0">
                  <c:v>Base -</c:v>
                </c:pt>
              </c:strCache>
            </c:strRef>
          </c:tx>
          <c:spPr>
            <a:noFill/>
            <a:ln>
              <a:noFill/>
              <a:prstDash val="solid"/>
            </a:ln>
          </c:spPr>
          <c:invertIfNegative val="0"/>
          <c:cat>
            <c:strRef>
              <c:f>Bridge!$K$46:$K$50</c:f>
              <c:strCache>
                <c:ptCount val="5"/>
                <c:pt idx="0">
                  <c:v>Volume</c:v>
                </c:pt>
                <c:pt idx="1">
                  <c:v>Price</c:v>
                </c:pt>
                <c:pt idx="2">
                  <c:v>Mix</c:v>
                </c:pt>
                <c:pt idx="3">
                  <c:v>Timing</c:v>
                </c:pt>
                <c:pt idx="4">
                  <c:v>Net change</c:v>
                </c:pt>
              </c:strCache>
            </c:strRef>
          </c:cat>
          <c:val>
            <c:numRef>
              <c:f>Bridge!$O$46:$O$50</c:f>
              <c:numCache>
                <c:formatCode>#,##0;\(#,##0\);"-"</c:formatCode>
                <c:ptCount val="5"/>
                <c:pt idx="0">
                  <c:v>0</c:v>
                </c:pt>
                <c:pt idx="1">
                  <c:v>-828034.16666666651</c:v>
                </c:pt>
                <c:pt idx="2">
                  <c:v>-828034.16666666651</c:v>
                </c:pt>
                <c:pt idx="3">
                  <c:v>-838699.4999999993</c:v>
                </c:pt>
                <c:pt idx="4">
                  <c:v>0</c:v>
                </c:pt>
              </c:numCache>
            </c:numRef>
          </c:val>
          <c:extLst>
            <c:ext xmlns:c16="http://schemas.microsoft.com/office/drawing/2014/chart" uri="{C3380CC4-5D6E-409C-BE32-E72D297353CC}">
              <c16:uniqueId val="{00000001-D065-4C92-8F28-7A8D4754941F}"/>
            </c:ext>
          </c:extLst>
        </c:ser>
        <c:ser>
          <c:idx val="2"/>
          <c:order val="2"/>
          <c:tx>
            <c:strRef>
              <c:f>Bridge!$P$45</c:f>
              <c:strCache>
                <c:ptCount val="1"/>
                <c:pt idx="0">
                  <c:v>Increase +</c:v>
                </c:pt>
              </c:strCache>
            </c:strRef>
          </c:tx>
          <c:spPr>
            <a:solidFill>
              <a:srgbClr val="298EA5"/>
            </a:solidFill>
            <a:ln>
              <a:solidFill>
                <a:srgbClr val="298EA5"/>
              </a:solidFill>
              <a:prstDash val="solid"/>
            </a:ln>
          </c:spPr>
          <c:invertIfNegative val="0"/>
          <c:cat>
            <c:strRef>
              <c:f>Bridge!$K$46:$K$50</c:f>
              <c:strCache>
                <c:ptCount val="5"/>
                <c:pt idx="0">
                  <c:v>Volume</c:v>
                </c:pt>
                <c:pt idx="1">
                  <c:v>Price</c:v>
                </c:pt>
                <c:pt idx="2">
                  <c:v>Mix</c:v>
                </c:pt>
                <c:pt idx="3">
                  <c:v>Timing</c:v>
                </c:pt>
                <c:pt idx="4">
                  <c:v>Net change</c:v>
                </c:pt>
              </c:strCache>
            </c:strRef>
          </c:cat>
          <c:val>
            <c:numRef>
              <c:f>Bridge!$P$46:$P$50</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D065-4C92-8F28-7A8D4754941F}"/>
            </c:ext>
          </c:extLst>
        </c:ser>
        <c:ser>
          <c:idx val="3"/>
          <c:order val="3"/>
          <c:tx>
            <c:strRef>
              <c:f>Bridge!$Q$45</c:f>
              <c:strCache>
                <c:ptCount val="1"/>
                <c:pt idx="0">
                  <c:v>Increase -</c:v>
                </c:pt>
              </c:strCache>
            </c:strRef>
          </c:tx>
          <c:spPr>
            <a:solidFill>
              <a:srgbClr val="298EA5"/>
            </a:solidFill>
            <a:ln>
              <a:solidFill>
                <a:srgbClr val="298EA5"/>
              </a:solidFill>
              <a:prstDash val="solid"/>
            </a:ln>
          </c:spPr>
          <c:invertIfNegative val="0"/>
          <c:cat>
            <c:strRef>
              <c:f>Bridge!$K$46:$K$50</c:f>
              <c:strCache>
                <c:ptCount val="5"/>
                <c:pt idx="0">
                  <c:v>Volume</c:v>
                </c:pt>
                <c:pt idx="1">
                  <c:v>Price</c:v>
                </c:pt>
                <c:pt idx="2">
                  <c:v>Mix</c:v>
                </c:pt>
                <c:pt idx="3">
                  <c:v>Timing</c:v>
                </c:pt>
                <c:pt idx="4">
                  <c:v>Net change</c:v>
                </c:pt>
              </c:strCache>
            </c:strRef>
          </c:cat>
          <c:val>
            <c:numRef>
              <c:f>Bridge!$Q$46:$Q$50</c:f>
              <c:numCache>
                <c:formatCode>#,##0;\(#,##0\);"-"</c:formatCode>
                <c:ptCount val="5"/>
                <c:pt idx="0">
                  <c:v>0</c:v>
                </c:pt>
                <c:pt idx="1">
                  <c:v>-448200.50000000023</c:v>
                </c:pt>
                <c:pt idx="2">
                  <c:v>0</c:v>
                </c:pt>
                <c:pt idx="3">
                  <c:v>0</c:v>
                </c:pt>
                <c:pt idx="4">
                  <c:v>0</c:v>
                </c:pt>
              </c:numCache>
            </c:numRef>
          </c:val>
          <c:extLst>
            <c:ext xmlns:c16="http://schemas.microsoft.com/office/drawing/2014/chart" uri="{C3380CC4-5D6E-409C-BE32-E72D297353CC}">
              <c16:uniqueId val="{00000003-D065-4C92-8F28-7A8D4754941F}"/>
            </c:ext>
          </c:extLst>
        </c:ser>
        <c:ser>
          <c:idx val="4"/>
          <c:order val="4"/>
          <c:tx>
            <c:strRef>
              <c:f>Bridge!$R$45</c:f>
              <c:strCache>
                <c:ptCount val="1"/>
                <c:pt idx="0">
                  <c:v>Decrease +</c:v>
                </c:pt>
              </c:strCache>
            </c:strRef>
          </c:tx>
          <c:spPr>
            <a:solidFill>
              <a:srgbClr val="F16922"/>
            </a:solidFill>
            <a:ln>
              <a:solidFill>
                <a:srgbClr val="F16922"/>
              </a:solidFill>
              <a:prstDash val="solid"/>
            </a:ln>
          </c:spPr>
          <c:invertIfNegative val="0"/>
          <c:cat>
            <c:strRef>
              <c:f>Bridge!$K$46:$K$50</c:f>
              <c:strCache>
                <c:ptCount val="5"/>
                <c:pt idx="0">
                  <c:v>Volume</c:v>
                </c:pt>
                <c:pt idx="1">
                  <c:v>Price</c:v>
                </c:pt>
                <c:pt idx="2">
                  <c:v>Mix</c:v>
                </c:pt>
                <c:pt idx="3">
                  <c:v>Timing</c:v>
                </c:pt>
                <c:pt idx="4">
                  <c:v>Net change</c:v>
                </c:pt>
              </c:strCache>
            </c:strRef>
          </c:cat>
          <c:val>
            <c:numRef>
              <c:f>Bridge!$R$46:$R$50</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4-D065-4C92-8F28-7A8D4754941F}"/>
            </c:ext>
          </c:extLst>
        </c:ser>
        <c:ser>
          <c:idx val="5"/>
          <c:order val="5"/>
          <c:tx>
            <c:strRef>
              <c:f>Bridge!$S$45</c:f>
              <c:strCache>
                <c:ptCount val="1"/>
                <c:pt idx="0">
                  <c:v>Decrease -</c:v>
                </c:pt>
              </c:strCache>
            </c:strRef>
          </c:tx>
          <c:spPr>
            <a:solidFill>
              <a:srgbClr val="F16922"/>
            </a:solidFill>
            <a:ln>
              <a:solidFill>
                <a:srgbClr val="F16922"/>
              </a:solidFill>
              <a:prstDash val="solid"/>
            </a:ln>
          </c:spPr>
          <c:invertIfNegative val="0"/>
          <c:cat>
            <c:strRef>
              <c:f>Bridge!$K$46:$K$50</c:f>
              <c:strCache>
                <c:ptCount val="5"/>
                <c:pt idx="0">
                  <c:v>Volume</c:v>
                </c:pt>
                <c:pt idx="1">
                  <c:v>Price</c:v>
                </c:pt>
                <c:pt idx="2">
                  <c:v>Mix</c:v>
                </c:pt>
                <c:pt idx="3">
                  <c:v>Timing</c:v>
                </c:pt>
                <c:pt idx="4">
                  <c:v>Net change</c:v>
                </c:pt>
              </c:strCache>
            </c:strRef>
          </c:cat>
          <c:val>
            <c:numRef>
              <c:f>Bridge!$S$46:$S$50</c:f>
              <c:numCache>
                <c:formatCode>#,##0;\(#,##0\);"-"</c:formatCode>
                <c:ptCount val="5"/>
                <c:pt idx="0">
                  <c:v>-1276234.6666666667</c:v>
                </c:pt>
                <c:pt idx="1">
                  <c:v>0</c:v>
                </c:pt>
                <c:pt idx="2">
                  <c:v>-10665.33333333279</c:v>
                </c:pt>
                <c:pt idx="3">
                  <c:v>-69525</c:v>
                </c:pt>
                <c:pt idx="4">
                  <c:v>0</c:v>
                </c:pt>
              </c:numCache>
            </c:numRef>
          </c:val>
          <c:extLst>
            <c:ext xmlns:c16="http://schemas.microsoft.com/office/drawing/2014/chart" uri="{C3380CC4-5D6E-409C-BE32-E72D297353CC}">
              <c16:uniqueId val="{00000005-D065-4C92-8F28-7A8D4754941F}"/>
            </c:ext>
          </c:extLst>
        </c:ser>
        <c:ser>
          <c:idx val="6"/>
          <c:order val="6"/>
          <c:tx>
            <c:strRef>
              <c:f>Bridge!$T$45</c:f>
              <c:strCache>
                <c:ptCount val="1"/>
                <c:pt idx="0">
                  <c:v>Net</c:v>
                </c:pt>
              </c:strCache>
            </c:strRef>
          </c:tx>
          <c:spPr>
            <a:solidFill>
              <a:srgbClr val="05272D"/>
            </a:solidFill>
            <a:ln>
              <a:solidFill>
                <a:srgbClr val="05272D"/>
              </a:solidFill>
              <a:prstDash val="solid"/>
            </a:ln>
          </c:spPr>
          <c:invertIfNegative val="0"/>
          <c:cat>
            <c:strRef>
              <c:f>Bridge!$K$46:$K$50</c:f>
              <c:strCache>
                <c:ptCount val="5"/>
                <c:pt idx="0">
                  <c:v>Volume</c:v>
                </c:pt>
                <c:pt idx="1">
                  <c:v>Price</c:v>
                </c:pt>
                <c:pt idx="2">
                  <c:v>Mix</c:v>
                </c:pt>
                <c:pt idx="3">
                  <c:v>Timing</c:v>
                </c:pt>
                <c:pt idx="4">
                  <c:v>Net change</c:v>
                </c:pt>
              </c:strCache>
            </c:strRef>
          </c:cat>
          <c:val>
            <c:numRef>
              <c:f>Bridge!$T$46:$T$50</c:f>
              <c:numCache>
                <c:formatCode>#,##0;\(#,##0\);"-"</c:formatCode>
                <c:ptCount val="5"/>
                <c:pt idx="0">
                  <c:v>0</c:v>
                </c:pt>
                <c:pt idx="1">
                  <c:v>0</c:v>
                </c:pt>
                <c:pt idx="2">
                  <c:v>0</c:v>
                </c:pt>
                <c:pt idx="3">
                  <c:v>0</c:v>
                </c:pt>
                <c:pt idx="4">
                  <c:v>-908224.4999999993</c:v>
                </c:pt>
              </c:numCache>
            </c:numRef>
          </c:val>
          <c:extLst>
            <c:ext xmlns:c16="http://schemas.microsoft.com/office/drawing/2014/chart" uri="{C3380CC4-5D6E-409C-BE32-E72D297353CC}">
              <c16:uniqueId val="{00000006-D065-4C92-8F28-7A8D4754941F}"/>
            </c:ext>
          </c:extLst>
        </c:ser>
        <c:dLbls>
          <c:showLegendKey val="0"/>
          <c:showVal val="0"/>
          <c:showCatName val="0"/>
          <c:showSerName val="0"/>
          <c:showPercent val="0"/>
          <c:showBubbleSize val="0"/>
        </c:dLbls>
        <c:gapWidth val="70"/>
        <c:overlap val="100"/>
        <c:axId val="10"/>
        <c:axId val="100"/>
      </c:barChart>
      <c:catAx>
        <c:axId val="10"/>
        <c:scaling>
          <c:orientation val="minMax"/>
        </c:scaling>
        <c:delete val="0"/>
        <c:axPos val="b"/>
        <c:numFmt formatCode="General" sourceLinked="1"/>
        <c:majorTickMark val="none"/>
        <c:minorTickMark val="none"/>
        <c:tickLblPos val="low"/>
        <c:txPr>
          <a:bodyPr/>
          <a:lstStyle/>
          <a:p>
            <a:pPr>
              <a:defRPr sz="850" b="0">
                <a:solidFill>
                  <a:srgbClr val="555555"/>
                </a:solidFill>
                <a:latin typeface="Segoe UI"/>
              </a:defRPr>
            </a:pPr>
            <a:endParaRPr lang="en-US"/>
          </a:p>
        </c:txPr>
        <c:crossAx val="100"/>
        <c:crosses val="autoZero"/>
        <c:auto val="1"/>
        <c:lblAlgn val="ctr"/>
        <c:lblOffset val="100"/>
        <c:noMultiLvlLbl val="1"/>
      </c:catAx>
      <c:valAx>
        <c:axId val="100"/>
        <c:scaling>
          <c:orientation val="minMax"/>
        </c:scaling>
        <c:delete val="0"/>
        <c:axPos val="l"/>
        <c:majorGridlines>
          <c:spPr>
            <a:ln w="6350">
              <a:solidFill>
                <a:srgbClr val="D5DDE0"/>
              </a:solidFill>
              <a:prstDash val="solid"/>
            </a:ln>
          </c:spPr>
        </c:majorGridlines>
        <c:numFmt formatCode="#,##0,&quot;k&quot;;\(#,##0,&quot;k&quot;\);0" sourceLinked="0"/>
        <c:majorTickMark val="none"/>
        <c:minorTickMark val="none"/>
        <c:tickLblPos val="nextTo"/>
        <c:txPr>
          <a:bodyPr/>
          <a:lstStyle/>
          <a:p>
            <a:pPr>
              <a:defRPr sz="850" b="0">
                <a:solidFill>
                  <a:srgbClr val="555555"/>
                </a:solidFill>
                <a:latin typeface="Segoe UI"/>
              </a:defRPr>
            </a:pPr>
            <a:endParaRPr lang="en-US"/>
          </a:p>
        </c:txPr>
        <c:crossAx val="10"/>
        <c:crosses val="autoZero"/>
        <c:crossBetween val="between"/>
      </c:valAx>
      <c:spPr>
        <a:solidFill>
          <a:srgbClr val="F5F7F8"/>
        </a:solidFill>
        <a:ln>
          <a:noFill/>
          <a:prstDash val="solid"/>
        </a:ln>
      </c:spPr>
    </c:plotArea>
    <c:plotVisOnly val="1"/>
    <c:dispBlanksAs val="gap"/>
    <c:showDLblsOverMax val="1"/>
  </c:chart>
  <c:spPr>
    <a:solidFill>
      <a:srgbClr val="FFFFFF"/>
    </a:solidFill>
    <a:ln w="9525">
      <a:solidFill>
        <a:srgbClr val="C9D3D6"/>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sz="1100" b="1">
                <a:solidFill>
                  <a:srgbClr val="05272D"/>
                </a:solidFill>
                <a:latin typeface="Segoe UI"/>
              </a:defRPr>
            </a:pPr>
            <a:r>
              <a:rPr sz="1100" b="1">
                <a:solidFill>
                  <a:srgbClr val="05272D"/>
                </a:solidFill>
                <a:latin typeface="Segoe UI"/>
              </a:rPr>
              <a:t>Change in revenue by product and driver (thousands)</a:t>
            </a:r>
          </a:p>
        </c:rich>
      </c:tx>
      <c:overlay val="0"/>
    </c:title>
    <c:autoTitleDeleted val="0"/>
    <c:plotArea>
      <c:layout/>
      <c:barChart>
        <c:barDir val="bar"/>
        <c:grouping val="stacked"/>
        <c:varyColors val="1"/>
        <c:ser>
          <c:idx val="0"/>
          <c:order val="0"/>
          <c:tx>
            <c:strRef>
              <c:f>Bridge!$M$7</c:f>
              <c:strCache>
                <c:ptCount val="1"/>
                <c:pt idx="0">
                  <c:v>Volume</c:v>
                </c:pt>
              </c:strCache>
            </c:strRef>
          </c:tx>
          <c:spPr>
            <a:solidFill>
              <a:srgbClr val="05272D"/>
            </a:solidFill>
            <a:ln>
              <a:solidFill>
                <a:srgbClr val="05272D"/>
              </a:solidFill>
              <a:prstDash val="solid"/>
            </a:ln>
          </c:spPr>
          <c:invertIfNegative val="0"/>
          <c:cat>
            <c:strRef>
              <c:f>Bridge!$C$8:$C$17</c:f>
              <c:strCache>
                <c:ptCount val="5"/>
                <c:pt idx="0">
                  <c:v>Standard Unit</c:v>
                </c:pt>
                <c:pt idx="1">
                  <c:v>Premium Unit</c:v>
                </c:pt>
                <c:pt idx="2">
                  <c:v>Economy Unit</c:v>
                </c:pt>
                <c:pt idx="3">
                  <c:v>Spare Parts Kit</c:v>
                </c:pt>
                <c:pt idx="4">
                  <c:v>Service Contract</c:v>
                </c:pt>
              </c:strCache>
            </c:strRef>
          </c:cat>
          <c:val>
            <c:numRef>
              <c:f>Bridge!$M$8:$M$17</c:f>
              <c:numCache>
                <c:formatCode>#,##0;\(#,##0\);"-"</c:formatCode>
                <c:ptCount val="10"/>
                <c:pt idx="0">
                  <c:v>-467200</c:v>
                </c:pt>
                <c:pt idx="1">
                  <c:v>-317695.99999999988</c:v>
                </c:pt>
                <c:pt idx="2">
                  <c:v>-311466.66666666686</c:v>
                </c:pt>
                <c:pt idx="3">
                  <c:v>-63071.999999999935</c:v>
                </c:pt>
                <c:pt idx="4">
                  <c:v>-116799.99999999991</c:v>
                </c:pt>
                <c:pt idx="5">
                  <c:v>0</c:v>
                </c:pt>
                <c:pt idx="6">
                  <c:v>0</c:v>
                </c:pt>
                <c:pt idx="7">
                  <c:v>0</c:v>
                </c:pt>
                <c:pt idx="8">
                  <c:v>0</c:v>
                </c:pt>
                <c:pt idx="9">
                  <c:v>0</c:v>
                </c:pt>
              </c:numCache>
            </c:numRef>
          </c:val>
          <c:extLst>
            <c:ext xmlns:c16="http://schemas.microsoft.com/office/drawing/2014/chart" uri="{C3380CC4-5D6E-409C-BE32-E72D297353CC}">
              <c16:uniqueId val="{00000000-19BD-4615-83A6-3FF700A2D448}"/>
            </c:ext>
          </c:extLst>
        </c:ser>
        <c:ser>
          <c:idx val="1"/>
          <c:order val="1"/>
          <c:tx>
            <c:strRef>
              <c:f>Bridge!$N$7</c:f>
              <c:strCache>
                <c:ptCount val="1"/>
                <c:pt idx="0">
                  <c:v>Price</c:v>
                </c:pt>
              </c:strCache>
            </c:strRef>
          </c:tx>
          <c:spPr>
            <a:solidFill>
              <a:srgbClr val="298EA5"/>
            </a:solidFill>
            <a:ln>
              <a:solidFill>
                <a:srgbClr val="298EA5"/>
              </a:solidFill>
              <a:prstDash val="solid"/>
            </a:ln>
          </c:spPr>
          <c:invertIfNegative val="0"/>
          <c:cat>
            <c:strRef>
              <c:f>Bridge!$C$8:$C$17</c:f>
              <c:strCache>
                <c:ptCount val="5"/>
                <c:pt idx="0">
                  <c:v>Standard Unit</c:v>
                </c:pt>
                <c:pt idx="1">
                  <c:v>Premium Unit</c:v>
                </c:pt>
                <c:pt idx="2">
                  <c:v>Economy Unit</c:v>
                </c:pt>
                <c:pt idx="3">
                  <c:v>Spare Parts Kit</c:v>
                </c:pt>
                <c:pt idx="4">
                  <c:v>Service Contract</c:v>
                </c:pt>
              </c:strCache>
            </c:strRef>
          </c:cat>
          <c:val>
            <c:numRef>
              <c:f>Bridge!$N$8:$N$17</c:f>
              <c:numCache>
                <c:formatCode>#,##0;\(#,##0\);"-"</c:formatCode>
                <c:ptCount val="10"/>
                <c:pt idx="0">
                  <c:v>145350</c:v>
                </c:pt>
                <c:pt idx="1">
                  <c:v>127907.99999999987</c:v>
                </c:pt>
                <c:pt idx="2">
                  <c:v>35720.000000000451</c:v>
                </c:pt>
                <c:pt idx="3">
                  <c:v>23085.000000000025</c:v>
                </c:pt>
                <c:pt idx="4">
                  <c:v>116137.49999999994</c:v>
                </c:pt>
                <c:pt idx="5">
                  <c:v>0</c:v>
                </c:pt>
                <c:pt idx="6">
                  <c:v>0</c:v>
                </c:pt>
                <c:pt idx="7">
                  <c:v>0</c:v>
                </c:pt>
                <c:pt idx="8">
                  <c:v>0</c:v>
                </c:pt>
                <c:pt idx="9">
                  <c:v>0</c:v>
                </c:pt>
              </c:numCache>
            </c:numRef>
          </c:val>
          <c:extLst>
            <c:ext xmlns:c16="http://schemas.microsoft.com/office/drawing/2014/chart" uri="{C3380CC4-5D6E-409C-BE32-E72D297353CC}">
              <c16:uniqueId val="{00000001-19BD-4615-83A6-3FF700A2D448}"/>
            </c:ext>
          </c:extLst>
        </c:ser>
        <c:ser>
          <c:idx val="2"/>
          <c:order val="2"/>
          <c:tx>
            <c:strRef>
              <c:f>Bridge!$O$7</c:f>
              <c:strCache>
                <c:ptCount val="1"/>
                <c:pt idx="0">
                  <c:v>Mix</c:v>
                </c:pt>
              </c:strCache>
            </c:strRef>
          </c:tx>
          <c:spPr>
            <a:solidFill>
              <a:srgbClr val="70C9CC"/>
            </a:solidFill>
            <a:ln>
              <a:solidFill>
                <a:srgbClr val="70C9CC"/>
              </a:solidFill>
              <a:prstDash val="solid"/>
            </a:ln>
          </c:spPr>
          <c:invertIfNegative val="0"/>
          <c:cat>
            <c:strRef>
              <c:f>Bridge!$C$8:$C$17</c:f>
              <c:strCache>
                <c:ptCount val="5"/>
                <c:pt idx="0">
                  <c:v>Standard Unit</c:v>
                </c:pt>
                <c:pt idx="1">
                  <c:v>Premium Unit</c:v>
                </c:pt>
                <c:pt idx="2">
                  <c:v>Economy Unit</c:v>
                </c:pt>
                <c:pt idx="3">
                  <c:v>Spare Parts Kit</c:v>
                </c:pt>
                <c:pt idx="4">
                  <c:v>Service Contract</c:v>
                </c:pt>
              </c:strCache>
            </c:strRef>
          </c:cat>
          <c:val>
            <c:numRef>
              <c:f>Bridge!$O$8:$O$17</c:f>
              <c:numCache>
                <c:formatCode>#,##0;\(#,##0\);"-"</c:formatCode>
                <c:ptCount val="10"/>
                <c:pt idx="0">
                  <c:v>-687800</c:v>
                </c:pt>
                <c:pt idx="1">
                  <c:v>501296.00000000047</c:v>
                </c:pt>
                <c:pt idx="2">
                  <c:v>111466.66666666686</c:v>
                </c:pt>
                <c:pt idx="3">
                  <c:v>22571.999999999935</c:v>
                </c:pt>
                <c:pt idx="4">
                  <c:v>41799.999999999913</c:v>
                </c:pt>
                <c:pt idx="5">
                  <c:v>0</c:v>
                </c:pt>
                <c:pt idx="6">
                  <c:v>0</c:v>
                </c:pt>
                <c:pt idx="7">
                  <c:v>0</c:v>
                </c:pt>
                <c:pt idx="8">
                  <c:v>0</c:v>
                </c:pt>
                <c:pt idx="9">
                  <c:v>0</c:v>
                </c:pt>
              </c:numCache>
            </c:numRef>
          </c:val>
          <c:extLst>
            <c:ext xmlns:c16="http://schemas.microsoft.com/office/drawing/2014/chart" uri="{C3380CC4-5D6E-409C-BE32-E72D297353CC}">
              <c16:uniqueId val="{00000002-19BD-4615-83A6-3FF700A2D448}"/>
            </c:ext>
          </c:extLst>
        </c:ser>
        <c:ser>
          <c:idx val="3"/>
          <c:order val="3"/>
          <c:tx>
            <c:strRef>
              <c:f>Bridge!$P$7</c:f>
              <c:strCache>
                <c:ptCount val="1"/>
                <c:pt idx="0">
                  <c:v>Timing</c:v>
                </c:pt>
              </c:strCache>
            </c:strRef>
          </c:tx>
          <c:spPr>
            <a:solidFill>
              <a:srgbClr val="E1E33F"/>
            </a:solidFill>
            <a:ln>
              <a:solidFill>
                <a:srgbClr val="E1E33F"/>
              </a:solidFill>
              <a:prstDash val="solid"/>
            </a:ln>
          </c:spPr>
          <c:invertIfNegative val="0"/>
          <c:cat>
            <c:strRef>
              <c:f>Bridge!$C$8:$C$17</c:f>
              <c:strCache>
                <c:ptCount val="5"/>
                <c:pt idx="0">
                  <c:v>Standard Unit</c:v>
                </c:pt>
                <c:pt idx="1">
                  <c:v>Premium Unit</c:v>
                </c:pt>
                <c:pt idx="2">
                  <c:v>Economy Unit</c:v>
                </c:pt>
                <c:pt idx="3">
                  <c:v>Spare Parts Kit</c:v>
                </c:pt>
                <c:pt idx="4">
                  <c:v>Service Contract</c:v>
                </c:pt>
              </c:strCache>
            </c:strRef>
          </c:cat>
          <c:val>
            <c:numRef>
              <c:f>Bridge!$P$8:$P$17</c:f>
              <c:numCache>
                <c:formatCode>#,##0;\(#,##0\);"-"</c:formatCode>
                <c:ptCount val="10"/>
                <c:pt idx="0">
                  <c:v>0</c:v>
                </c:pt>
                <c:pt idx="1">
                  <c:v>0</c:v>
                </c:pt>
                <c:pt idx="2">
                  <c:v>0</c:v>
                </c:pt>
                <c:pt idx="3">
                  <c:v>-69525</c:v>
                </c:pt>
                <c:pt idx="4">
                  <c:v>0</c:v>
                </c:pt>
                <c:pt idx="5">
                  <c:v>0</c:v>
                </c:pt>
                <c:pt idx="6">
                  <c:v>0</c:v>
                </c:pt>
                <c:pt idx="7">
                  <c:v>0</c:v>
                </c:pt>
                <c:pt idx="8">
                  <c:v>0</c:v>
                </c:pt>
                <c:pt idx="9">
                  <c:v>0</c:v>
                </c:pt>
              </c:numCache>
            </c:numRef>
          </c:val>
          <c:extLst>
            <c:ext xmlns:c16="http://schemas.microsoft.com/office/drawing/2014/chart" uri="{C3380CC4-5D6E-409C-BE32-E72D297353CC}">
              <c16:uniqueId val="{00000003-19BD-4615-83A6-3FF700A2D448}"/>
            </c:ext>
          </c:extLst>
        </c:ser>
        <c:dLbls>
          <c:showLegendKey val="0"/>
          <c:showVal val="0"/>
          <c:showCatName val="0"/>
          <c:showSerName val="0"/>
          <c:showPercent val="0"/>
          <c:showBubbleSize val="0"/>
        </c:dLbls>
        <c:gapWidth val="45"/>
        <c:overlap val="100"/>
        <c:axId val="10"/>
        <c:axId val="100"/>
      </c:barChart>
      <c:catAx>
        <c:axId val="10"/>
        <c:scaling>
          <c:orientation val="maxMin"/>
        </c:scaling>
        <c:delete val="0"/>
        <c:axPos val="l"/>
        <c:numFmt formatCode="General" sourceLinked="1"/>
        <c:majorTickMark val="none"/>
        <c:minorTickMark val="none"/>
        <c:tickLblPos val="low"/>
        <c:txPr>
          <a:bodyPr/>
          <a:lstStyle/>
          <a:p>
            <a:pPr>
              <a:defRPr sz="850" b="0">
                <a:solidFill>
                  <a:srgbClr val="555555"/>
                </a:solidFill>
                <a:latin typeface="Segoe UI"/>
              </a:defRPr>
            </a:pPr>
            <a:endParaRPr lang="en-US"/>
          </a:p>
        </c:txPr>
        <c:crossAx val="100"/>
        <c:crosses val="autoZero"/>
        <c:auto val="1"/>
        <c:lblAlgn val="ctr"/>
        <c:lblOffset val="100"/>
        <c:noMultiLvlLbl val="1"/>
      </c:catAx>
      <c:valAx>
        <c:axId val="100"/>
        <c:scaling>
          <c:orientation val="minMax"/>
        </c:scaling>
        <c:delete val="0"/>
        <c:axPos val="b"/>
        <c:majorGridlines>
          <c:spPr>
            <a:ln w="6350">
              <a:solidFill>
                <a:srgbClr val="D5DDE0"/>
              </a:solidFill>
              <a:prstDash val="solid"/>
            </a:ln>
          </c:spPr>
        </c:majorGridlines>
        <c:numFmt formatCode="#,##0,&quot;k&quot;;\(#,##0,&quot;k&quot;\);0" sourceLinked="0"/>
        <c:majorTickMark val="none"/>
        <c:minorTickMark val="none"/>
        <c:tickLblPos val="nextTo"/>
        <c:txPr>
          <a:bodyPr/>
          <a:lstStyle/>
          <a:p>
            <a:pPr>
              <a:defRPr sz="850" b="0">
                <a:solidFill>
                  <a:srgbClr val="555555"/>
                </a:solidFill>
                <a:latin typeface="Segoe UI"/>
              </a:defRPr>
            </a:pPr>
            <a:endParaRPr lang="en-US"/>
          </a:p>
        </c:txPr>
        <c:crossAx val="10"/>
        <c:crosses val="max"/>
        <c:crossBetween val="between"/>
      </c:valAx>
      <c:spPr>
        <a:solidFill>
          <a:srgbClr val="F5F7F8"/>
        </a:solidFill>
        <a:ln>
          <a:noFill/>
          <a:prstDash val="solid"/>
        </a:ln>
      </c:spPr>
    </c:plotArea>
    <c:legend>
      <c:legendPos val="b"/>
      <c:overlay val="0"/>
      <c:txPr>
        <a:bodyPr/>
        <a:lstStyle/>
        <a:p>
          <a:pPr>
            <a:defRPr sz="850" b="0">
              <a:solidFill>
                <a:srgbClr val="555555"/>
              </a:solidFill>
              <a:latin typeface="Segoe UI"/>
            </a:defRPr>
          </a:pPr>
          <a:endParaRPr lang="en-US"/>
        </a:p>
      </c:txPr>
    </c:legend>
    <c:plotVisOnly val="1"/>
    <c:dispBlanksAs val="gap"/>
    <c:showDLblsOverMax val="1"/>
  </c:chart>
  <c:spPr>
    <a:solidFill>
      <a:srgbClr val="FFFFFF"/>
    </a:solidFill>
    <a:ln w="9525">
      <a:solidFill>
        <a:srgbClr val="C9D3D6"/>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857500" cy="94297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14425" cy="2857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30</xdr:row>
      <xdr:rowOff>0</xdr:rowOff>
    </xdr:from>
    <xdr:ext cx="5760000" cy="324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30</xdr:row>
      <xdr:rowOff>0</xdr:rowOff>
    </xdr:from>
    <xdr:ext cx="5400000" cy="324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0</xdr:col>
      <xdr:colOff>0</xdr:colOff>
      <xdr:row>0</xdr:row>
      <xdr:rowOff>0</xdr:rowOff>
    </xdr:from>
    <xdr:ext cx="1114425" cy="285750"/>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14425" cy="2857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14425" cy="2857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14425" cy="28575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eizmic.ai/beyond-8-behind-budget-variance-analysis-that-explains-not-just-report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5272D"/>
    <pageSetUpPr fitToPage="1"/>
  </sheetPr>
  <dimension ref="A1:H48"/>
  <sheetViews>
    <sheetView showGridLines="0" tabSelected="1" workbookViewId="0"/>
  </sheetViews>
  <sheetFormatPr defaultRowHeight="15"/>
  <cols>
    <col min="1" max="1" width="3" customWidth="1"/>
    <col min="2" max="2" width="24" customWidth="1"/>
    <col min="3" max="7" width="18" customWidth="1"/>
    <col min="8" max="8" width="3" customWidth="1"/>
  </cols>
  <sheetData>
    <row r="1" spans="1:8" ht="18" customHeight="1">
      <c r="A1" s="1"/>
      <c r="B1" s="1"/>
      <c r="C1" s="1"/>
      <c r="D1" s="1"/>
      <c r="E1" s="1"/>
      <c r="F1" s="1"/>
      <c r="G1" s="1"/>
      <c r="H1" s="1"/>
    </row>
    <row r="2" spans="1:8" ht="18" customHeight="1">
      <c r="A2" s="1"/>
      <c r="B2" s="1"/>
      <c r="C2" s="1"/>
      <c r="D2" s="1"/>
      <c r="E2" s="1"/>
      <c r="F2" s="1"/>
      <c r="G2" s="1"/>
      <c r="H2" s="1"/>
    </row>
    <row r="3" spans="1:8" ht="18" customHeight="1">
      <c r="A3" s="1"/>
      <c r="B3" s="1"/>
      <c r="C3" s="1"/>
      <c r="D3" s="1"/>
      <c r="E3" s="1"/>
      <c r="F3" s="1"/>
      <c r="G3" s="1"/>
      <c r="H3" s="1"/>
    </row>
    <row r="4" spans="1:8" ht="18" customHeight="1">
      <c r="A4" s="1"/>
      <c r="B4" s="1"/>
      <c r="C4" s="1"/>
      <c r="D4" s="1"/>
      <c r="E4" s="1"/>
      <c r="F4" s="1"/>
      <c r="G4" s="1"/>
      <c r="H4" s="1"/>
    </row>
    <row r="5" spans="1:8" ht="18" customHeight="1">
      <c r="A5" s="1"/>
      <c r="B5" s="1"/>
      <c r="C5" s="1"/>
      <c r="D5" s="1"/>
      <c r="E5" s="1"/>
      <c r="F5" s="1"/>
      <c r="G5" s="1"/>
      <c r="H5" s="1"/>
    </row>
    <row r="6" spans="1:8" ht="18" customHeight="1">
      <c r="A6" s="1"/>
      <c r="B6" s="1"/>
      <c r="C6" s="1"/>
      <c r="D6" s="1"/>
      <c r="E6" s="1"/>
      <c r="F6" s="1"/>
      <c r="G6" s="1"/>
      <c r="H6" s="1"/>
    </row>
    <row r="7" spans="1:8" ht="18" customHeight="1">
      <c r="A7" s="1"/>
      <c r="B7" s="1"/>
      <c r="C7" s="1"/>
      <c r="D7" s="1"/>
      <c r="E7" s="1"/>
      <c r="F7" s="1"/>
      <c r="G7" s="1"/>
      <c r="H7" s="1"/>
    </row>
    <row r="8" spans="1:8" ht="18" customHeight="1">
      <c r="A8" s="1"/>
      <c r="B8" s="1"/>
      <c r="C8" s="1"/>
      <c r="D8" s="1"/>
      <c r="E8" s="1"/>
      <c r="F8" s="1"/>
      <c r="G8" s="1"/>
      <c r="H8" s="1"/>
    </row>
    <row r="9" spans="1:8" ht="36" customHeight="1">
      <c r="A9" s="1"/>
      <c r="B9" s="2" t="s">
        <v>44</v>
      </c>
      <c r="C9" s="1"/>
      <c r="D9" s="1"/>
      <c r="E9" s="1"/>
      <c r="F9" s="1"/>
      <c r="G9" s="1"/>
      <c r="H9" s="1"/>
    </row>
    <row r="10" spans="1:8" ht="36" customHeight="1">
      <c r="A10" s="1"/>
      <c r="B10" s="2" t="s">
        <v>45</v>
      </c>
      <c r="C10" s="1"/>
      <c r="D10" s="1"/>
      <c r="E10" s="1"/>
      <c r="F10" s="1"/>
      <c r="G10" s="1"/>
      <c r="H10" s="1"/>
    </row>
    <row r="11" spans="1:8" ht="18" customHeight="1">
      <c r="A11" s="1"/>
      <c r="B11" s="1"/>
      <c r="C11" s="1"/>
      <c r="D11" s="1"/>
      <c r="E11" s="1"/>
      <c r="F11" s="1"/>
      <c r="G11" s="1"/>
      <c r="H11" s="1"/>
    </row>
    <row r="12" spans="1:8" ht="18" customHeight="1">
      <c r="A12" s="1"/>
      <c r="B12" s="3" t="s">
        <v>46</v>
      </c>
      <c r="C12" s="1"/>
      <c r="D12" s="1"/>
      <c r="E12" s="1"/>
      <c r="F12" s="1"/>
      <c r="G12" s="1"/>
      <c r="H12" s="1"/>
    </row>
    <row r="13" spans="1:8" ht="18" customHeight="1">
      <c r="A13" s="1"/>
      <c r="B13" s="1"/>
      <c r="C13" s="1"/>
      <c r="D13" s="1"/>
      <c r="E13" s="1"/>
      <c r="F13" s="1"/>
      <c r="G13" s="1"/>
      <c r="H13" s="1"/>
    </row>
    <row r="14" spans="1:8" ht="18" customHeight="1">
      <c r="A14" s="1"/>
      <c r="B14" s="4" t="s">
        <v>47</v>
      </c>
      <c r="C14" s="1"/>
      <c r="D14" s="1"/>
      <c r="E14" s="1"/>
      <c r="F14" s="1"/>
      <c r="G14" s="1"/>
      <c r="H14" s="1"/>
    </row>
    <row r="15" spans="1:8" ht="18" customHeight="1">
      <c r="A15" s="1"/>
      <c r="B15" s="1"/>
      <c r="C15" s="1"/>
      <c r="D15" s="1"/>
      <c r="E15" s="1"/>
      <c r="F15" s="1"/>
      <c r="G15" s="1"/>
      <c r="H15" s="1"/>
    </row>
    <row r="16" spans="1:8" ht="18" customHeight="1">
      <c r="A16" s="1"/>
      <c r="B16" s="1"/>
      <c r="C16" s="1"/>
      <c r="D16" s="1"/>
      <c r="E16" s="1"/>
      <c r="F16" s="1"/>
      <c r="G16" s="1"/>
      <c r="H16" s="1"/>
    </row>
    <row r="18" spans="2:7" ht="17.25">
      <c r="B18" s="5" t="s">
        <v>48</v>
      </c>
    </row>
    <row r="19" spans="2:7" ht="46.15" customHeight="1">
      <c r="B19" s="156" t="s">
        <v>49</v>
      </c>
      <c r="C19" s="155"/>
      <c r="D19" s="155"/>
      <c r="E19" s="155"/>
      <c r="F19" s="155"/>
      <c r="G19" s="155"/>
    </row>
    <row r="20" spans="2:7" ht="46.15" customHeight="1">
      <c r="B20" s="156" t="s">
        <v>50</v>
      </c>
      <c r="C20" s="155"/>
      <c r="D20" s="155"/>
      <c r="E20" s="155"/>
      <c r="F20" s="155"/>
      <c r="G20" s="155"/>
    </row>
    <row r="21" spans="2:7" ht="18" customHeight="1">
      <c r="B21" s="6" t="s">
        <v>51</v>
      </c>
    </row>
    <row r="22" spans="2:7" ht="19.350000000000001" customHeight="1">
      <c r="B22" s="154" t="s">
        <v>52</v>
      </c>
      <c r="C22" s="155"/>
      <c r="D22" s="155"/>
      <c r="E22" s="155"/>
      <c r="F22" s="155"/>
      <c r="G22" s="155"/>
    </row>
    <row r="23" spans="2:7" ht="19.350000000000001" customHeight="1">
      <c r="B23" s="154" t="s">
        <v>53</v>
      </c>
      <c r="C23" s="155"/>
      <c r="D23" s="155"/>
      <c r="E23" s="155"/>
      <c r="F23" s="155"/>
      <c r="G23" s="155"/>
    </row>
    <row r="24" spans="2:7" ht="19.350000000000001" customHeight="1">
      <c r="B24" s="154" t="s">
        <v>54</v>
      </c>
      <c r="C24" s="155"/>
      <c r="D24" s="155"/>
      <c r="E24" s="155"/>
      <c r="F24" s="155"/>
      <c r="G24" s="155"/>
    </row>
    <row r="25" spans="2:7" ht="19.350000000000001" customHeight="1">
      <c r="B25" s="154" t="s">
        <v>55</v>
      </c>
      <c r="C25" s="155"/>
      <c r="D25" s="155"/>
      <c r="E25" s="155"/>
      <c r="F25" s="155"/>
      <c r="G25" s="155"/>
    </row>
    <row r="26" spans="2:7" ht="32.65" customHeight="1">
      <c r="B26" s="154" t="s">
        <v>56</v>
      </c>
      <c r="C26" s="155"/>
      <c r="D26" s="155"/>
      <c r="E26" s="155"/>
      <c r="F26" s="155"/>
      <c r="G26" s="155"/>
    </row>
    <row r="27" spans="2:7" ht="46.15" customHeight="1">
      <c r="B27" s="157" t="s">
        <v>57</v>
      </c>
      <c r="C27" s="155"/>
      <c r="D27" s="155"/>
      <c r="E27" s="155"/>
      <c r="F27" s="155"/>
      <c r="G27" s="155"/>
    </row>
    <row r="29" spans="2:7" ht="17.25">
      <c r="B29" s="5" t="s">
        <v>58</v>
      </c>
    </row>
    <row r="30" spans="2:7">
      <c r="B30" s="7" t="s">
        <v>59</v>
      </c>
      <c r="C30" s="8" t="s">
        <v>60</v>
      </c>
    </row>
    <row r="31" spans="2:7">
      <c r="B31" s="7" t="s">
        <v>61</v>
      </c>
      <c r="C31" s="8" t="s">
        <v>62</v>
      </c>
    </row>
    <row r="32" spans="2:7">
      <c r="B32" s="7" t="s">
        <v>63</v>
      </c>
      <c r="C32" s="8" t="s">
        <v>64</v>
      </c>
    </row>
    <row r="33" spans="2:7">
      <c r="B33" s="7" t="s">
        <v>65</v>
      </c>
      <c r="C33" s="8" t="s">
        <v>66</v>
      </c>
    </row>
    <row r="34" spans="2:7">
      <c r="B34" s="7" t="s">
        <v>67</v>
      </c>
      <c r="C34" s="8" t="s">
        <v>68</v>
      </c>
    </row>
    <row r="35" spans="2:7">
      <c r="B35" s="7" t="s">
        <v>69</v>
      </c>
      <c r="C35" s="8" t="s">
        <v>70</v>
      </c>
    </row>
    <row r="36" spans="2:7">
      <c r="B36" s="7" t="s">
        <v>71</v>
      </c>
      <c r="C36" s="8" t="s">
        <v>72</v>
      </c>
    </row>
    <row r="37" spans="2:7">
      <c r="B37" s="7" t="s">
        <v>73</v>
      </c>
      <c r="C37" s="8" t="s">
        <v>74</v>
      </c>
    </row>
    <row r="39" spans="2:7" ht="17.25">
      <c r="B39" s="5" t="s">
        <v>75</v>
      </c>
    </row>
    <row r="40" spans="2:7">
      <c r="B40" s="9" t="s">
        <v>76</v>
      </c>
      <c r="C40" s="8" t="s">
        <v>77</v>
      </c>
    </row>
    <row r="41" spans="2:7">
      <c r="B41" s="9" t="s">
        <v>78</v>
      </c>
      <c r="C41" s="8" t="s">
        <v>79</v>
      </c>
    </row>
    <row r="42" spans="2:7">
      <c r="B42" s="9" t="s">
        <v>80</v>
      </c>
      <c r="C42" s="8" t="s">
        <v>81</v>
      </c>
    </row>
    <row r="43" spans="2:7">
      <c r="B43" s="9" t="s">
        <v>82</v>
      </c>
      <c r="C43" s="8" t="s">
        <v>83</v>
      </c>
    </row>
    <row r="44" spans="2:7">
      <c r="B44" s="9" t="s">
        <v>84</v>
      </c>
      <c r="C44" s="8" t="s">
        <v>85</v>
      </c>
    </row>
    <row r="46" spans="2:7" ht="17.25">
      <c r="B46" s="5" t="s">
        <v>86</v>
      </c>
    </row>
    <row r="47" spans="2:7" ht="18.75" customHeight="1">
      <c r="B47" s="10" t="s">
        <v>59</v>
      </c>
      <c r="C47" s="11" t="s">
        <v>61</v>
      </c>
      <c r="D47" s="11" t="s">
        <v>87</v>
      </c>
      <c r="E47" s="147" t="s">
        <v>19</v>
      </c>
      <c r="F47" s="132"/>
      <c r="G47" s="133"/>
    </row>
    <row r="48" spans="2:7">
      <c r="B48" s="12" t="s">
        <v>60</v>
      </c>
      <c r="C48" s="13" t="s">
        <v>62</v>
      </c>
      <c r="D48" s="13" t="s">
        <v>64</v>
      </c>
      <c r="E48" s="137" t="s">
        <v>88</v>
      </c>
      <c r="F48" s="138"/>
      <c r="G48" s="158"/>
    </row>
  </sheetData>
  <mergeCells count="10">
    <mergeCell ref="B27:G27"/>
    <mergeCell ref="E47:G47"/>
    <mergeCell ref="E48:G48"/>
    <mergeCell ref="B26:G26"/>
    <mergeCell ref="B25:G25"/>
    <mergeCell ref="B24:G24"/>
    <mergeCell ref="B19:G19"/>
    <mergeCell ref="B20:G20"/>
    <mergeCell ref="B22:G22"/>
    <mergeCell ref="B23:G23"/>
  </mergeCells>
  <hyperlinks>
    <hyperlink ref="B40" location="'How To Use'!A1" display="How To Use" xr:uid="{00000000-0004-0000-0000-000000000000}"/>
    <hyperlink ref="B41" location="'Inputs'!A1" display="Inputs" xr:uid="{00000000-0004-0000-0000-000001000000}"/>
    <hyperlink ref="B42" location="'What-If'!A1" display="What-If" xr:uid="{00000000-0004-0000-0000-000002000000}"/>
    <hyperlink ref="B43" location="'Dashboard'!A1" display="Dashboard" xr:uid="{00000000-0004-0000-0000-000003000000}"/>
    <hyperlink ref="B44" location="'Bridge'!A1" display="Bridge" xr:uid="{00000000-0004-0000-0000-000004000000}"/>
  </hyperlinks>
  <pageMargins left="0.75" right="0.75" top="1" bottom="1" header="0.5" footer="0.5"/>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5272D"/>
    <pageSetUpPr fitToPage="1"/>
  </sheetPr>
  <dimension ref="B1:C43"/>
  <sheetViews>
    <sheetView showGridLines="0" workbookViewId="0"/>
  </sheetViews>
  <sheetFormatPr defaultRowHeight="15"/>
  <cols>
    <col min="1" max="1" width="3" customWidth="1"/>
    <col min="2" max="2" width="30" customWidth="1"/>
    <col min="3" max="3" width="100" customWidth="1"/>
  </cols>
  <sheetData>
    <row r="1" spans="2:3" ht="8.1" customHeight="1"/>
    <row r="2" spans="2:3" ht="24.6" customHeight="1"/>
    <row r="3" spans="2:3" ht="21.95" customHeight="1">
      <c r="B3" s="16" t="s">
        <v>89</v>
      </c>
    </row>
    <row r="4" spans="2:3">
      <c r="B4" s="17" t="s">
        <v>90</v>
      </c>
      <c r="C4" s="18"/>
    </row>
    <row r="6" spans="2:3" ht="20.100000000000001" customHeight="1">
      <c r="B6" s="19" t="s">
        <v>91</v>
      </c>
    </row>
    <row r="7" spans="2:3" ht="56.85" customHeight="1">
      <c r="B7" s="20" t="s">
        <v>92</v>
      </c>
      <c r="C7" s="21" t="s">
        <v>93</v>
      </c>
    </row>
    <row r="8" spans="2:3" ht="56.85" customHeight="1">
      <c r="B8" s="20" t="s">
        <v>94</v>
      </c>
      <c r="C8" s="21" t="s">
        <v>95</v>
      </c>
    </row>
    <row r="9" spans="2:3" ht="56.85" customHeight="1">
      <c r="B9" s="20" t="s">
        <v>96</v>
      </c>
      <c r="C9" s="21" t="s">
        <v>97</v>
      </c>
    </row>
    <row r="10" spans="2:3" ht="82.15" customHeight="1">
      <c r="B10" s="20" t="s">
        <v>98</v>
      </c>
      <c r="C10" s="21" t="s">
        <v>99</v>
      </c>
    </row>
    <row r="11" spans="2:3" ht="69.599999999999994" customHeight="1">
      <c r="B11" s="20" t="s">
        <v>100</v>
      </c>
      <c r="C11" s="21" t="s">
        <v>101</v>
      </c>
    </row>
    <row r="12" spans="2:3" ht="56.85" customHeight="1">
      <c r="B12" s="20" t="s">
        <v>102</v>
      </c>
      <c r="C12" s="21" t="s">
        <v>103</v>
      </c>
    </row>
    <row r="13" spans="2:3" ht="82.15" customHeight="1">
      <c r="B13" s="20" t="s">
        <v>104</v>
      </c>
      <c r="C13" s="21" t="s">
        <v>105</v>
      </c>
    </row>
    <row r="14" spans="2:3" ht="31.35" customHeight="1">
      <c r="B14" s="20" t="s">
        <v>106</v>
      </c>
      <c r="C14" s="21" t="s">
        <v>107</v>
      </c>
    </row>
    <row r="16" spans="2:3" ht="20.100000000000001" customHeight="1">
      <c r="B16" s="19" t="s">
        <v>108</v>
      </c>
    </row>
    <row r="17" spans="2:3">
      <c r="B17" s="22" t="s">
        <v>109</v>
      </c>
    </row>
    <row r="18" spans="2:3" ht="20.100000000000001" customHeight="1">
      <c r="B18" s="19" t="s">
        <v>110</v>
      </c>
    </row>
    <row r="19" spans="2:3" ht="17.100000000000001" customHeight="1">
      <c r="B19" s="23" t="s">
        <v>111</v>
      </c>
      <c r="C19" s="8" t="s">
        <v>112</v>
      </c>
    </row>
    <row r="20" spans="2:3" ht="17.100000000000001" customHeight="1">
      <c r="B20" s="24" t="s">
        <v>113</v>
      </c>
      <c r="C20" s="8" t="s">
        <v>114</v>
      </c>
    </row>
    <row r="21" spans="2:3" ht="17.100000000000001" customHeight="1">
      <c r="B21" s="25" t="s">
        <v>115</v>
      </c>
      <c r="C21" s="8" t="s">
        <v>116</v>
      </c>
    </row>
    <row r="22" spans="2:3" ht="17.100000000000001" customHeight="1">
      <c r="B22" s="26" t="s">
        <v>117</v>
      </c>
      <c r="C22" s="8" t="s">
        <v>118</v>
      </c>
    </row>
    <row r="23" spans="2:3">
      <c r="B23" s="22" t="s">
        <v>119</v>
      </c>
    </row>
    <row r="25" spans="2:3" ht="20.100000000000001" customHeight="1">
      <c r="B25" s="19" t="s">
        <v>120</v>
      </c>
    </row>
    <row r="26" spans="2:3" ht="31.35" customHeight="1">
      <c r="B26" s="20" t="s">
        <v>121</v>
      </c>
      <c r="C26" s="21" t="s">
        <v>122</v>
      </c>
    </row>
    <row r="27" spans="2:3" ht="31.35" customHeight="1">
      <c r="B27" s="20" t="s">
        <v>123</v>
      </c>
      <c r="C27" s="21" t="s">
        <v>124</v>
      </c>
    </row>
    <row r="28" spans="2:3" ht="44.1" customHeight="1">
      <c r="B28" s="20" t="s">
        <v>125</v>
      </c>
      <c r="C28" s="21" t="s">
        <v>126</v>
      </c>
    </row>
    <row r="29" spans="2:3" ht="44.1" customHeight="1">
      <c r="B29" s="20" t="s">
        <v>32</v>
      </c>
      <c r="C29" s="21" t="s">
        <v>127</v>
      </c>
    </row>
    <row r="30" spans="2:3" ht="31.35" customHeight="1">
      <c r="B30" s="20" t="s">
        <v>128</v>
      </c>
      <c r="C30" s="21" t="s">
        <v>129</v>
      </c>
    </row>
    <row r="32" spans="2:3" ht="20.100000000000001" customHeight="1">
      <c r="B32" s="19" t="s">
        <v>130</v>
      </c>
    </row>
    <row r="33" spans="2:3" ht="31.35" customHeight="1">
      <c r="B33" s="20" t="s">
        <v>131</v>
      </c>
      <c r="C33" s="21" t="s">
        <v>132</v>
      </c>
    </row>
    <row r="34" spans="2:3" ht="18.75" customHeight="1">
      <c r="B34" s="20" t="s">
        <v>133</v>
      </c>
      <c r="C34" s="21" t="s">
        <v>134</v>
      </c>
    </row>
    <row r="35" spans="2:3" ht="44.1" customHeight="1">
      <c r="B35" s="20" t="s">
        <v>135</v>
      </c>
      <c r="C35" s="21" t="s">
        <v>136</v>
      </c>
    </row>
    <row r="36" spans="2:3" ht="31.35" customHeight="1">
      <c r="B36" s="20" t="s">
        <v>137</v>
      </c>
      <c r="C36" s="21" t="s">
        <v>138</v>
      </c>
    </row>
    <row r="37" spans="2:3" ht="31.35" customHeight="1">
      <c r="B37" s="20" t="s">
        <v>139</v>
      </c>
      <c r="C37" s="21" t="s">
        <v>140</v>
      </c>
    </row>
    <row r="38" spans="2:3" ht="18.75" customHeight="1">
      <c r="B38" s="20" t="s">
        <v>141</v>
      </c>
      <c r="C38" s="21" t="s">
        <v>142</v>
      </c>
    </row>
    <row r="39" spans="2:3" ht="31.35" customHeight="1">
      <c r="B39" s="20" t="s">
        <v>143</v>
      </c>
      <c r="C39" s="21" t="s">
        <v>144</v>
      </c>
    </row>
    <row r="41" spans="2:3" ht="20.100000000000001" customHeight="1">
      <c r="B41" s="19" t="s">
        <v>145</v>
      </c>
    </row>
    <row r="42" spans="2:3" ht="56.85" customHeight="1">
      <c r="B42" s="20" t="s">
        <v>64</v>
      </c>
      <c r="C42" s="21" t="s">
        <v>146</v>
      </c>
    </row>
    <row r="43" spans="2:3">
      <c r="C43" s="27" t="s">
        <v>147</v>
      </c>
    </row>
  </sheetData>
  <hyperlinks>
    <hyperlink ref="C43" r:id="rId1" xr:uid="{00000000-0004-0000-0100-000000000000}"/>
  </hyperlinks>
  <pageMargins left="0.75" right="0.75" top="1" bottom="1" header="0.5" footer="0.5"/>
  <pageSetup fitToHeight="0" orientation="portrait"/>
  <headerFooter>
    <oddFooter>&amp;LSeizmic FP&amp;&amp;A | Variance Bridge Analysis Workbook | Seizmic proprietary&amp;RPage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5272D"/>
    <pageSetUpPr fitToPage="1"/>
  </sheetPr>
  <dimension ref="B1:M63"/>
  <sheetViews>
    <sheetView showGridLines="0" workbookViewId="0">
      <pane ySplit="4" topLeftCell="A5" activePane="bottomLeft" state="frozen"/>
      <selection pane="bottomLeft"/>
    </sheetView>
  </sheetViews>
  <sheetFormatPr defaultRowHeight="15"/>
  <cols>
    <col min="1" max="1" width="3" customWidth="1"/>
    <col min="2" max="2" width="26" customWidth="1"/>
    <col min="3" max="13" width="14" customWidth="1"/>
  </cols>
  <sheetData>
    <row r="1" spans="2:13" ht="8.1" customHeight="1"/>
    <row r="2" spans="2:13" ht="24.6" customHeight="1"/>
    <row r="3" spans="2:13" ht="21.95" customHeight="1">
      <c r="B3" s="16" t="s">
        <v>0</v>
      </c>
    </row>
    <row r="4" spans="2:13">
      <c r="B4" s="17" t="str">
        <f>Inputs!D6&amp;" | "&amp;Inputs!D7&amp;" | "&amp;Inputs!D8&amp;" vs "&amp;'What-If'!D6</f>
        <v>Example Manufacturing Co | March 2027 | Budget vs Scenario 1: price increase, volume pressure</v>
      </c>
      <c r="C4" s="18"/>
      <c r="D4" s="18"/>
      <c r="E4" s="18"/>
      <c r="F4" s="18"/>
      <c r="G4" s="18"/>
      <c r="H4" s="18"/>
      <c r="I4" s="18"/>
      <c r="J4" s="18"/>
      <c r="K4" s="18"/>
      <c r="L4" s="18"/>
      <c r="M4" s="18"/>
    </row>
    <row r="6" spans="2:13" ht="18" customHeight="1">
      <c r="B6" s="28" t="s">
        <v>1</v>
      </c>
      <c r="C6" s="129" t="s">
        <v>2</v>
      </c>
      <c r="D6" s="130"/>
      <c r="E6" s="129" t="s">
        <v>3</v>
      </c>
      <c r="F6" s="130"/>
      <c r="G6" s="129" t="s">
        <v>4</v>
      </c>
      <c r="H6" s="130"/>
      <c r="I6" s="129" t="s">
        <v>5</v>
      </c>
      <c r="J6" s="130"/>
      <c r="K6" s="129" t="s">
        <v>6</v>
      </c>
      <c r="L6" s="141"/>
      <c r="M6" s="130"/>
    </row>
    <row r="7" spans="2:13" ht="30" customHeight="1">
      <c r="B7" s="29">
        <f>Inputs!G37</f>
        <v>16390000</v>
      </c>
      <c r="C7" s="146">
        <f>'What-If'!R38</f>
        <v>15481775.5</v>
      </c>
      <c r="D7" s="130"/>
      <c r="E7" s="146">
        <f>'What-If'!R38-Inputs!G37</f>
        <v>-908224.5</v>
      </c>
      <c r="F7" s="130"/>
      <c r="G7" s="145">
        <f>IF(Inputs!G37=0,0,'What-If'!R38/Inputs!G37-1)</f>
        <v>-5.5413331299572932E-2</v>
      </c>
      <c r="H7" s="130"/>
      <c r="I7" s="145">
        <f>IF(Inputs!F37=0,0,'What-If'!O38/Inputs!F37-1)</f>
        <v>2.8949448202803874E-2</v>
      </c>
      <c r="J7" s="130"/>
      <c r="K7" s="146">
        <f>'What-If'!Q38</f>
        <v>-69525</v>
      </c>
      <c r="L7" s="141"/>
      <c r="M7" s="130"/>
    </row>
    <row r="8" spans="2:13" ht="18" customHeight="1">
      <c r="B8" s="30" t="str">
        <f>TEXT(Inputs!E37,"#,##0")&amp;" units"</f>
        <v>112,500 units</v>
      </c>
      <c r="C8" s="139" t="str">
        <f>TEXT('What-If'!N38,"#,##0")&amp;" units"</f>
        <v>103,740 units</v>
      </c>
      <c r="D8" s="130"/>
      <c r="E8" s="139" t="str">
        <f>"Scenario less baseline"</f>
        <v>Scenario less baseline</v>
      </c>
      <c r="F8" s="130"/>
      <c r="G8" s="139" t="str">
        <f>"Against baseline revenue"</f>
        <v>Against baseline revenue</v>
      </c>
      <c r="H8" s="130"/>
      <c r="I8" s="139" t="str">
        <f>"Revenue per unit, all products"</f>
        <v>Revenue per unit, all products</v>
      </c>
      <c r="J8" s="130"/>
      <c r="K8" s="139" t="str">
        <f>"Reverses in a later period"</f>
        <v>Reverses in a later period</v>
      </c>
      <c r="L8" s="141"/>
      <c r="M8" s="130"/>
    </row>
    <row r="10" spans="2:13" ht="17.25">
      <c r="B10" s="19" t="s">
        <v>7</v>
      </c>
    </row>
    <row r="11" spans="2:13" ht="31.35" customHeight="1">
      <c r="B11" s="10" t="s">
        <v>8</v>
      </c>
      <c r="C11" s="11" t="s">
        <v>9</v>
      </c>
      <c r="D11" s="11" t="s">
        <v>10</v>
      </c>
      <c r="E11" s="31" t="s">
        <v>11</v>
      </c>
      <c r="F11" s="131" t="s">
        <v>12</v>
      </c>
      <c r="G11" s="132"/>
      <c r="H11" s="132"/>
      <c r="I11" s="132"/>
      <c r="J11" s="132"/>
      <c r="K11" s="132"/>
      <c r="L11" s="132"/>
      <c r="M11" s="133"/>
    </row>
    <row r="12" spans="2:13" ht="32.1" customHeight="1">
      <c r="B12" s="32" t="str">
        <f>Bridge!C37</f>
        <v>Baseline revenue</v>
      </c>
      <c r="C12" s="33">
        <f>Bridge!D37</f>
        <v>16390000</v>
      </c>
      <c r="D12" s="33">
        <f>Bridge!E37</f>
        <v>16390000</v>
      </c>
      <c r="E12" s="34">
        <f>1</f>
        <v>1</v>
      </c>
      <c r="F12" s="142" t="str">
        <f>Inputs!D8&amp;" revenue for "&amp;Inputs!D7&amp;"."</f>
        <v>Budget revenue for March 2027.</v>
      </c>
      <c r="G12" s="143"/>
      <c r="H12" s="143"/>
      <c r="I12" s="143"/>
      <c r="J12" s="143"/>
      <c r="K12" s="143"/>
      <c r="L12" s="143"/>
      <c r="M12" s="144"/>
    </row>
    <row r="13" spans="2:13" ht="32.1" customHeight="1">
      <c r="B13" s="35" t="str">
        <f>Bridge!C38</f>
        <v>Volume</v>
      </c>
      <c r="C13" s="36">
        <f>Bridge!D38</f>
        <v>-1276234.6666666667</v>
      </c>
      <c r="D13" s="36">
        <f>Bridge!E38</f>
        <v>15113765.333333334</v>
      </c>
      <c r="E13" s="37">
        <f>IF(Bridge!$D$37=0,0,Bridge!D38/Bridge!$D$37)</f>
        <v>-7.7866666666666667E-2</v>
      </c>
      <c r="F13" s="134" t="str">
        <f>IF(Bridge!D38=0,"No change in total units.","Total units "&amp;IF('What-If'!N38&gt;=Inputs!E37,"up ","down ")&amp;TEXT(ABS('What-If'!N38-Inputs!E37),"#,##0")&amp;" ("&amp;TEXT(IF(Inputs!E37=0,0,'What-If'!N38/Inputs!E37-1),"0.0%")&amp;") at the baseline average price of "&amp;TEXT(Inputs!F37,"#,##0.00")&amp;" per unit.")</f>
        <v>Total units down 8,760 (-7.8%) at the baseline average price of 145.69 per unit.</v>
      </c>
      <c r="G13" s="135"/>
      <c r="H13" s="135"/>
      <c r="I13" s="135"/>
      <c r="J13" s="135"/>
      <c r="K13" s="135"/>
      <c r="L13" s="135"/>
      <c r="M13" s="136"/>
    </row>
    <row r="14" spans="2:13" ht="32.1" customHeight="1">
      <c r="B14" s="35" t="str">
        <f>Bridge!C39</f>
        <v>Price</v>
      </c>
      <c r="C14" s="36">
        <f>Bridge!D39</f>
        <v>448200.50000000029</v>
      </c>
      <c r="D14" s="36">
        <f>Bridge!E39</f>
        <v>15561965.833333334</v>
      </c>
      <c r="E14" s="37">
        <f>IF(Bridge!$D$37=0,0,Bridge!D39/Bridge!$D$37)</f>
        <v>2.7345973154362435E-2</v>
      </c>
      <c r="F14" s="134" t="str">
        <f>IF(ROUND(Bridge!D39,0)=0,"No price change.","Selling at "&amp;IF(Bridge!D39&gt;0,"higher","lower")&amp;" prices than baseline on the scenario units."&amp;IF(MAX(Bridge!N8:N32)&gt;0," Largest increase: "&amp;INDEX(Bridge!C8:C32,MATCH(MAX(Bridge!N8:N32),Bridge!N8:N32,0)),"")&amp;IF(MIN(Bridge!N8:N32)&lt;0,"; largest decrease: "&amp;INDEX(Bridge!C8:C32,MATCH(MIN(Bridge!N8:N32),Bridge!N8:N32,0)),"")&amp;".")</f>
        <v>Selling at higher prices than baseline on the scenario units. Largest increase: Standard Unit.</v>
      </c>
      <c r="G14" s="135"/>
      <c r="H14" s="135"/>
      <c r="I14" s="135"/>
      <c r="J14" s="135"/>
      <c r="K14" s="135"/>
      <c r="L14" s="135"/>
      <c r="M14" s="136"/>
    </row>
    <row r="15" spans="2:13" ht="32.1" customHeight="1">
      <c r="B15" s="35" t="str">
        <f>Bridge!C40</f>
        <v>Mix</v>
      </c>
      <c r="C15" s="36">
        <f>Bridge!D40</f>
        <v>-10665.333333332826</v>
      </c>
      <c r="D15" s="36">
        <f>Bridge!E40</f>
        <v>15551300.500000002</v>
      </c>
      <c r="E15" s="37">
        <f>IF(Bridge!$D$37=0,0,Bridge!D40/Bridge!$D$37)</f>
        <v>-6.5072198495014189E-4</v>
      </c>
      <c r="F15" s="134" t="str">
        <f>IF(ROUND(Bridge!D40,0)=0,"No change in product mix.","The product mix shifted toward "&amp;IF(Bridge!D40&gt;0,"higher","lower")&amp;" priced lines."&amp;IF(MAX(Bridge!O8:O32)&gt;0," Largest positive mix effect: "&amp;INDEX(Bridge!C8:C32,MATCH(MAX(Bridge!O8:O32),Bridge!O8:O32,0)),"")&amp;IF(MIN(Bridge!O8:O32)&lt;0,"; largest negative: "&amp;INDEX(Bridge!C8:C32,MATCH(MIN(Bridge!O8:O32),Bridge!O8:O32,0)),"")&amp;".")</f>
        <v>The product mix shifted toward lower priced lines. Largest positive mix effect: Premium Unit; largest negative: Standard Unit.</v>
      </c>
      <c r="G15" s="135"/>
      <c r="H15" s="135"/>
      <c r="I15" s="135"/>
      <c r="J15" s="135"/>
      <c r="K15" s="135"/>
      <c r="L15" s="135"/>
      <c r="M15" s="136"/>
    </row>
    <row r="16" spans="2:13" ht="32.1" customHeight="1">
      <c r="B16" s="35" t="str">
        <f>Bridge!C41</f>
        <v>Timing</v>
      </c>
      <c r="C16" s="36">
        <f>Bridge!D41</f>
        <v>-69525</v>
      </c>
      <c r="D16" s="36">
        <f>Bridge!E41</f>
        <v>15481775.500000002</v>
      </c>
      <c r="E16" s="37">
        <f>IF(Bridge!$D$37=0,0,Bridge!D41/Bridge!$D$37)</f>
        <v>-4.2419158023184866E-3</v>
      </c>
      <c r="F16" s="134" t="str">
        <f>IF(ROUND(Bridge!D41,0)=0,"No timing differences.","Revenue "&amp;IF(Bridge!D41&gt;0,"pulled into","pushed out of")&amp;" this period. It is real revenue and reverses in the period it belongs to.")</f>
        <v>Revenue pushed out of this period. It is real revenue and reverses in the period it belongs to.</v>
      </c>
      <c r="G16" s="135"/>
      <c r="H16" s="135"/>
      <c r="I16" s="135"/>
      <c r="J16" s="135"/>
      <c r="K16" s="135"/>
      <c r="L16" s="135"/>
      <c r="M16" s="136"/>
    </row>
    <row r="17" spans="2:13" ht="32.1" customHeight="1">
      <c r="B17" s="38" t="str">
        <f>Bridge!C42</f>
        <v>Scenario revenue</v>
      </c>
      <c r="C17" s="39">
        <f>Bridge!D42</f>
        <v>15481775.5</v>
      </c>
      <c r="D17" s="39">
        <f>Bridge!E42</f>
        <v>15481775.5</v>
      </c>
      <c r="E17" s="40">
        <f>IF(Bridge!$D$37=0,0,Bridge!D42/Bridge!$D$37)</f>
        <v>0.94458666870042707</v>
      </c>
      <c r="F17" s="148" t="str">
        <f>'What-If'!D6&amp;": "&amp;IF(Bridge!D42&gt;=Bridge!D37,"up ","down ")&amp;TEXT(ABS(Bridge!D42-Bridge!D37),"#,##0")&amp;" on baseline."</f>
        <v>Scenario 1: price increase, volume pressure: down 908,225 on baseline.</v>
      </c>
      <c r="G17" s="149"/>
      <c r="H17" s="149"/>
      <c r="I17" s="149"/>
      <c r="J17" s="149"/>
      <c r="K17" s="149"/>
      <c r="L17" s="149"/>
      <c r="M17" s="150"/>
    </row>
    <row r="18" spans="2:13">
      <c r="B18" s="22" t="s">
        <v>13</v>
      </c>
      <c r="C18" s="41">
        <f>ROUND(Bridge!D37+SUM(Bridge!D38:D41)-Bridge!D42,2)</f>
        <v>0</v>
      </c>
    </row>
    <row r="20" spans="2:13" ht="17.25">
      <c r="B20" s="19" t="s">
        <v>14</v>
      </c>
      <c r="H20" s="19" t="s">
        <v>15</v>
      </c>
    </row>
    <row r="21" spans="2:13" ht="31.35" customHeight="1">
      <c r="B21" s="10" t="s">
        <v>16</v>
      </c>
      <c r="C21" s="11" t="s">
        <v>17</v>
      </c>
      <c r="D21" s="11" t="s">
        <v>18</v>
      </c>
      <c r="E21" s="11" t="s">
        <v>19</v>
      </c>
      <c r="F21" s="31" t="s">
        <v>20</v>
      </c>
      <c r="H21" s="10" t="s">
        <v>21</v>
      </c>
      <c r="I21" s="147" t="s">
        <v>22</v>
      </c>
      <c r="J21" s="132"/>
      <c r="K21" s="11" t="s">
        <v>23</v>
      </c>
      <c r="L21" s="11" t="s">
        <v>24</v>
      </c>
      <c r="M21" s="31" t="s">
        <v>25</v>
      </c>
    </row>
    <row r="22" spans="2:13">
      <c r="B22" s="42" t="s">
        <v>26</v>
      </c>
      <c r="C22" s="43">
        <f>Inputs!E37</f>
        <v>112500</v>
      </c>
      <c r="D22" s="43">
        <f>'What-If'!N38</f>
        <v>103740</v>
      </c>
      <c r="E22" s="43">
        <f>D22-C22</f>
        <v>-8760</v>
      </c>
      <c r="F22" s="44">
        <f>IF(C22=0,0,D22/C22-1)</f>
        <v>-7.786666666666664E-2</v>
      </c>
      <c r="H22" s="45" t="s">
        <v>27</v>
      </c>
      <c r="I22" s="135" t="str">
        <f>IF(K22=0,"None",IFERROR(INDEX(Bridge!$C$8:$C$32,MATCH(K22,Bridge!$Q$8:$Q$32,0)),""))</f>
        <v>Premium Unit</v>
      </c>
      <c r="J22" s="140"/>
      <c r="K22" s="43">
        <f>IFERROR(IF(LARGE(Bridge!$Q$8:$Q$32,1)&gt;0.5,LARGE(Bridge!$Q$8:$Q$32,1),0),0)</f>
        <v>311508.00000000047</v>
      </c>
      <c r="L22" s="46">
        <f>IF(K22=0,0,IFERROR(INDEX(Bridge!$G$8:$G$32,MATCH(K22,Bridge!$Q$8:$Q$32,0)),0))</f>
        <v>0.10666666666666667</v>
      </c>
      <c r="M22" s="44">
        <f>IF(K22=0,0,IFERROR(INDEX(Bridge!$K$8:$K$32,MATCH(K22,Bridge!$Q$8:$Q$32,0)),0))</f>
        <v>0.12087912087912089</v>
      </c>
    </row>
    <row r="23" spans="2:13">
      <c r="B23" s="42" t="s">
        <v>28</v>
      </c>
      <c r="C23" s="47">
        <f>Inputs!F37</f>
        <v>145.6888888888889</v>
      </c>
      <c r="D23" s="47">
        <f>'What-If'!O38</f>
        <v>149.90650183150183</v>
      </c>
      <c r="E23" s="47">
        <f>D23-C23</f>
        <v>4.2176129426129307</v>
      </c>
      <c r="F23" s="44">
        <f>IF(C23=0,0,D23/C23-1)</f>
        <v>2.8949448202803874E-2</v>
      </c>
      <c r="H23" s="45" t="s">
        <v>29</v>
      </c>
      <c r="I23" s="135" t="str">
        <f>IF(K23=0,"None",IFERROR(INDEX(Bridge!$C$8:$C$32,MATCH(K23,Bridge!$Q$8:$Q$32,0)),""))</f>
        <v>Service Contract</v>
      </c>
      <c r="J23" s="140"/>
      <c r="K23" s="43">
        <f>IFERROR(IF(LARGE(Bridge!$Q$8:$Q$32,2)&gt;0.5,LARGE(Bridge!$Q$8:$Q$32,2),0),0)</f>
        <v>41137.499999999942</v>
      </c>
      <c r="L23" s="46">
        <f>IF(K23=0,0,IFERROR(INDEX(Bridge!$G$8:$G$32,MATCH(K23,Bridge!$Q$8:$Q$32,0)),0))</f>
        <v>2.2222222222222223E-2</v>
      </c>
      <c r="M23" s="44">
        <f>IF(K23=0,0,IFERROR(INDEX(Bridge!$K$8:$K$32,MATCH(K23,Bridge!$Q$8:$Q$32,0)),0))</f>
        <v>2.2893772893772892E-2</v>
      </c>
    </row>
    <row r="24" spans="2:13">
      <c r="B24" s="42" t="s">
        <v>30</v>
      </c>
      <c r="C24" s="43">
        <f>Inputs!G37</f>
        <v>16390000</v>
      </c>
      <c r="D24" s="43">
        <f>'What-If'!P38</f>
        <v>15551300.5</v>
      </c>
      <c r="E24" s="43">
        <f>D24-C24</f>
        <v>-838699.5</v>
      </c>
      <c r="F24" s="44">
        <f>IF(C24=0,0,D24/C24-1)</f>
        <v>-5.1171415497254458E-2</v>
      </c>
      <c r="H24" s="45" t="s">
        <v>31</v>
      </c>
      <c r="I24" s="135" t="str">
        <f>IF(K24=0,"None",IFERROR(INDEX(Bridge!$C$8:$C$32,MATCH(K24,Bridge!$Q$8:$Q$32,0)),""))</f>
        <v>None</v>
      </c>
      <c r="J24" s="140"/>
      <c r="K24" s="43">
        <f>IFERROR(IF(LARGE(Bridge!$Q$8:$Q$32,3)&gt;0.5,LARGE(Bridge!$Q$8:$Q$32,3),0),0)</f>
        <v>0</v>
      </c>
      <c r="L24" s="46">
        <f>IF(K24=0,0,IFERROR(INDEX(Bridge!$G$8:$G$32,MATCH(K24,Bridge!$Q$8:$Q$32,0)),0))</f>
        <v>0</v>
      </c>
      <c r="M24" s="44">
        <f>IF(K24=0,0,IFERROR(INDEX(Bridge!$K$8:$K$32,MATCH(K24,Bridge!$Q$8:$Q$32,0)),0))</f>
        <v>0</v>
      </c>
    </row>
    <row r="25" spans="2:13">
      <c r="B25" s="42" t="s">
        <v>32</v>
      </c>
      <c r="C25" s="43">
        <f>0</f>
        <v>0</v>
      </c>
      <c r="D25" s="43">
        <f>'What-If'!Q38</f>
        <v>-69525</v>
      </c>
      <c r="E25" s="43">
        <f>D25-C25</f>
        <v>-69525</v>
      </c>
      <c r="F25" s="44">
        <f>IF(C25=0,0,D25/C25-1)</f>
        <v>0</v>
      </c>
      <c r="H25" s="45" t="s">
        <v>33</v>
      </c>
      <c r="I25" s="135" t="str">
        <f>IF(K25=0,"None",IFERROR(INDEX(Bridge!$C$8:$C$32,MATCH(K25,Bridge!$Q$8:$Q$32,0)),""))</f>
        <v>Standard Unit</v>
      </c>
      <c r="J25" s="140"/>
      <c r="K25" s="43">
        <f>IFERROR(IF(SMALL(Bridge!$Q$8:$Q$32,1)&lt;-0.5,SMALL(Bridge!$Q$8:$Q$32,1),0),0)</f>
        <v>-1009650</v>
      </c>
      <c r="L25" s="46">
        <f>IF(K25=0,0,IFERROR(INDEX(Bridge!$G$8:$G$32,MATCH(K25,Bridge!$Q$8:$Q$32,0)),0))</f>
        <v>0.26666666666666666</v>
      </c>
      <c r="M25" s="44">
        <f>IF(K25=0,0,IFERROR(INDEX(Bridge!$K$8:$K$32,MATCH(K25,Bridge!$Q$8:$Q$32,0)),0))</f>
        <v>0.23351648351648352</v>
      </c>
    </row>
    <row r="26" spans="2:13">
      <c r="B26" s="48" t="s">
        <v>34</v>
      </c>
      <c r="C26" s="49">
        <f>Inputs!G37</f>
        <v>16390000</v>
      </c>
      <c r="D26" s="49">
        <f>'What-If'!R38</f>
        <v>15481775.5</v>
      </c>
      <c r="E26" s="49">
        <f>D26-C26</f>
        <v>-908224.5</v>
      </c>
      <c r="F26" s="50">
        <f>IF(C26=0,0,D26/C26-1)</f>
        <v>-5.5413331299572932E-2</v>
      </c>
      <c r="H26" s="45" t="s">
        <v>35</v>
      </c>
      <c r="I26" s="135" t="str">
        <f>IF(K26=0,"None",IFERROR(INDEX(Bridge!$C$8:$C$32,MATCH(K26,Bridge!$Q$8:$Q$32,0)),""))</f>
        <v>Economy Unit</v>
      </c>
      <c r="J26" s="140"/>
      <c r="K26" s="43">
        <f>IFERROR(IF(SMALL(Bridge!$Q$8:$Q$32,2)&lt;-0.5,SMALL(Bridge!$Q$8:$Q$32,2),0),0)</f>
        <v>-164279.99999999953</v>
      </c>
      <c r="L26" s="46">
        <f>IF(K26=0,0,IFERROR(INDEX(Bridge!$G$8:$G$32,MATCH(K26,Bridge!$Q$8:$Q$32,0)),0))</f>
        <v>0.44444444444444442</v>
      </c>
      <c r="M26" s="44">
        <f>IF(K26=0,0,IFERROR(INDEX(Bridge!$K$8:$K$32,MATCH(K26,Bridge!$Q$8:$Q$32,0)),0))</f>
        <v>0.45787545787545786</v>
      </c>
    </row>
    <row r="27" spans="2:13">
      <c r="H27" s="51" t="s">
        <v>36</v>
      </c>
      <c r="I27" s="137" t="str">
        <f>IF(K27=0,"None",IFERROR(INDEX(Bridge!$C$8:$C$32,MATCH(K27,Bridge!$Q$8:$Q$32,0)),""))</f>
        <v>Spare Parts Kit</v>
      </c>
      <c r="J27" s="138"/>
      <c r="K27" s="52">
        <f>IFERROR(IF(SMALL(Bridge!$Q$8:$Q$32,3)&lt;-0.5,SMALL(Bridge!$Q$8:$Q$32,3),0),0)</f>
        <v>-86939.999999999971</v>
      </c>
      <c r="L27" s="53">
        <f>IF(K27=0,0,IFERROR(INDEX(Bridge!$G$8:$G$32,MATCH(K27,Bridge!$Q$8:$Q$32,0)),0))</f>
        <v>0.16</v>
      </c>
      <c r="M27" s="54">
        <f>IF(K27=0,0,IFERROR(INDEX(Bridge!$K$8:$K$32,MATCH(K27,Bridge!$Q$8:$Q$32,0)),0))</f>
        <v>0.16483516483516483</v>
      </c>
    </row>
    <row r="30" spans="2:13" ht="17.25">
      <c r="B30" s="19" t="s">
        <v>37</v>
      </c>
    </row>
    <row r="49" spans="2:11">
      <c r="B49" s="22" t="s">
        <v>38</v>
      </c>
      <c r="H49" s="22" t="s">
        <v>39</v>
      </c>
    </row>
    <row r="51" spans="2:11" ht="17.25">
      <c r="B51" s="19" t="s">
        <v>40</v>
      </c>
    </row>
    <row r="52" spans="2:11">
      <c r="B52" s="22" t="s">
        <v>41</v>
      </c>
    </row>
    <row r="53" spans="2:11">
      <c r="C53" s="151" t="s">
        <v>42</v>
      </c>
      <c r="D53" s="152"/>
      <c r="E53" s="152"/>
      <c r="F53" s="152"/>
      <c r="G53" s="152"/>
      <c r="H53" s="152"/>
      <c r="I53" s="152"/>
      <c r="J53" s="152"/>
      <c r="K53" s="153"/>
    </row>
    <row r="54" spans="2:11">
      <c r="B54" s="55" t="s">
        <v>43</v>
      </c>
      <c r="C54" s="56">
        <v>-0.1</v>
      </c>
      <c r="D54" s="57">
        <v>-7.4999999999999997E-2</v>
      </c>
      <c r="E54" s="57">
        <v>-0.05</v>
      </c>
      <c r="F54" s="57">
        <v>-2.5000000000000001E-2</v>
      </c>
      <c r="G54" s="57">
        <v>0</v>
      </c>
      <c r="H54" s="57">
        <v>2.5000000000000001E-2</v>
      </c>
      <c r="I54" s="57">
        <v>0.05</v>
      </c>
      <c r="J54" s="57">
        <v>7.4999999999999997E-2</v>
      </c>
      <c r="K54" s="58">
        <v>0.1</v>
      </c>
    </row>
    <row r="55" spans="2:11">
      <c r="B55" s="59">
        <v>-0.2</v>
      </c>
      <c r="C55" s="60">
        <f>Bridge!$D$46*(1+$B55)*(1+C$54)+Bridge!$D$47*(1+C$54)+Bridge!$D$48-Bridge!$D$49</f>
        <v>-5007789.9999999981</v>
      </c>
      <c r="D55" s="61">
        <f>Bridge!$D$46*(1+$B55)*(1+D$54)+Bridge!$D$47*(1+D$54)+Bridge!$D$48-Bridge!$D$49</f>
        <v>-4691617.4999999981</v>
      </c>
      <c r="E55" s="61">
        <f>Bridge!$D$46*(1+$B55)*(1+E$54)+Bridge!$D$47*(1+E$54)+Bridge!$D$48-Bridge!$D$49</f>
        <v>-4375444.9999999981</v>
      </c>
      <c r="F55" s="61">
        <f>Bridge!$D$46*(1+$B55)*(1+F$54)+Bridge!$D$47*(1+F$54)+Bridge!$D$48-Bridge!$D$49</f>
        <v>-4059272.4999999981</v>
      </c>
      <c r="G55" s="61">
        <f>Bridge!$D$46*(1+$B55)*(1+G$54)+Bridge!$D$47*(1+G$54)+Bridge!$D$48-Bridge!$D$49</f>
        <v>-3743099.9999999981</v>
      </c>
      <c r="H55" s="61">
        <f>Bridge!$D$46*(1+$B55)*(1+H$54)+Bridge!$D$47*(1+H$54)+Bridge!$D$48-Bridge!$D$49</f>
        <v>-3426927.5</v>
      </c>
      <c r="I55" s="61">
        <f>Bridge!$D$46*(1+$B55)*(1+I$54)+Bridge!$D$47*(1+I$54)+Bridge!$D$48-Bridge!$D$49</f>
        <v>-3110754.9999999981</v>
      </c>
      <c r="J55" s="61">
        <f>Bridge!$D$46*(1+$B55)*(1+J$54)+Bridge!$D$47*(1+J$54)+Bridge!$D$48-Bridge!$D$49</f>
        <v>-2794582.4999999981</v>
      </c>
      <c r="K55" s="62">
        <f>Bridge!$D$46*(1+$B55)*(1+K$54)+Bridge!$D$47*(1+K$54)+Bridge!$D$48-Bridge!$D$49</f>
        <v>-2478409.9999999963</v>
      </c>
    </row>
    <row r="56" spans="2:11">
      <c r="B56" s="59">
        <v>-0.15</v>
      </c>
      <c r="C56" s="60">
        <f>Bridge!$D$46*(1+$B56)*(1+C$54)+Bridge!$D$47*(1+C$54)+Bridge!$D$48-Bridge!$D$49</f>
        <v>-4292604.9999999981</v>
      </c>
      <c r="D56" s="61">
        <f>Bridge!$D$46*(1+$B56)*(1+D$54)+Bridge!$D$47*(1+D$54)+Bridge!$D$48-Bridge!$D$49</f>
        <v>-3956566.2499999981</v>
      </c>
      <c r="E56" s="61">
        <f>Bridge!$D$46*(1+$B56)*(1+E$54)+Bridge!$D$47*(1+E$54)+Bridge!$D$48-Bridge!$D$49</f>
        <v>-3620527.4999999981</v>
      </c>
      <c r="F56" s="61">
        <f>Bridge!$D$46*(1+$B56)*(1+F$54)+Bridge!$D$47*(1+F$54)+Bridge!$D$48-Bridge!$D$49</f>
        <v>-3284488.7499999981</v>
      </c>
      <c r="G56" s="61">
        <f>Bridge!$D$46*(1+$B56)*(1+G$54)+Bridge!$D$47*(1+G$54)+Bridge!$D$48-Bridge!$D$49</f>
        <v>-2948449.9999999981</v>
      </c>
      <c r="H56" s="61">
        <f>Bridge!$D$46*(1+$B56)*(1+H$54)+Bridge!$D$47*(1+H$54)+Bridge!$D$48-Bridge!$D$49</f>
        <v>-2612411.25</v>
      </c>
      <c r="I56" s="61">
        <f>Bridge!$D$46*(1+$B56)*(1+I$54)+Bridge!$D$47*(1+I$54)+Bridge!$D$48-Bridge!$D$49</f>
        <v>-2276372.4999999981</v>
      </c>
      <c r="J56" s="61">
        <f>Bridge!$D$46*(1+$B56)*(1+J$54)+Bridge!$D$47*(1+J$54)+Bridge!$D$48-Bridge!$D$49</f>
        <v>-1940333.7499999981</v>
      </c>
      <c r="K56" s="62">
        <f>Bridge!$D$46*(1+$B56)*(1+K$54)+Bridge!$D$47*(1+K$54)+Bridge!$D$48-Bridge!$D$49</f>
        <v>-1604294.9999999963</v>
      </c>
    </row>
    <row r="57" spans="2:11">
      <c r="B57" s="59">
        <v>-0.1</v>
      </c>
      <c r="C57" s="60">
        <f>Bridge!$D$46*(1+$B57)*(1+C$54)+Bridge!$D$47*(1+C$54)+Bridge!$D$48-Bridge!$D$49</f>
        <v>-3577419.9999999981</v>
      </c>
      <c r="D57" s="61">
        <f>Bridge!$D$46*(1+$B57)*(1+D$54)+Bridge!$D$47*(1+D$54)+Bridge!$D$48-Bridge!$D$49</f>
        <v>-3221514.9999999981</v>
      </c>
      <c r="E57" s="61">
        <f>Bridge!$D$46*(1+$B57)*(1+E$54)+Bridge!$D$47*(1+E$54)+Bridge!$D$48-Bridge!$D$49</f>
        <v>-2865609.9999999981</v>
      </c>
      <c r="F57" s="61">
        <f>Bridge!$D$46*(1+$B57)*(1+F$54)+Bridge!$D$47*(1+F$54)+Bridge!$D$48-Bridge!$D$49</f>
        <v>-2509704.9999999981</v>
      </c>
      <c r="G57" s="61">
        <f>Bridge!$D$46*(1+$B57)*(1+G$54)+Bridge!$D$47*(1+G$54)+Bridge!$D$48-Bridge!$D$49</f>
        <v>-2153799.9999999981</v>
      </c>
      <c r="H57" s="61">
        <f>Bridge!$D$46*(1+$B57)*(1+H$54)+Bridge!$D$47*(1+H$54)+Bridge!$D$48-Bridge!$D$49</f>
        <v>-1797895</v>
      </c>
      <c r="I57" s="61">
        <f>Bridge!$D$46*(1+$B57)*(1+I$54)+Bridge!$D$47*(1+I$54)+Bridge!$D$48-Bridge!$D$49</f>
        <v>-1441989.9999999981</v>
      </c>
      <c r="J57" s="61">
        <f>Bridge!$D$46*(1+$B57)*(1+J$54)+Bridge!$D$47*(1+J$54)+Bridge!$D$48-Bridge!$D$49</f>
        <v>-1086084.9999999981</v>
      </c>
      <c r="K57" s="62">
        <f>Bridge!$D$46*(1+$B57)*(1+K$54)+Bridge!$D$47*(1+K$54)+Bridge!$D$48-Bridge!$D$49</f>
        <v>-730179.99999999627</v>
      </c>
    </row>
    <row r="58" spans="2:11">
      <c r="B58" s="59">
        <v>-0.05</v>
      </c>
      <c r="C58" s="60">
        <f>Bridge!$D$46*(1+$B58)*(1+C$54)+Bridge!$D$47*(1+C$54)+Bridge!$D$48-Bridge!$D$49</f>
        <v>-2862234.9999999981</v>
      </c>
      <c r="D58" s="61">
        <f>Bridge!$D$46*(1+$B58)*(1+D$54)+Bridge!$D$47*(1+D$54)+Bridge!$D$48-Bridge!$D$49</f>
        <v>-2486463.7499999981</v>
      </c>
      <c r="E58" s="61">
        <f>Bridge!$D$46*(1+$B58)*(1+E$54)+Bridge!$D$47*(1+E$54)+Bridge!$D$48-Bridge!$D$49</f>
        <v>-2110692.4999999981</v>
      </c>
      <c r="F58" s="61">
        <f>Bridge!$D$46*(1+$B58)*(1+F$54)+Bridge!$D$47*(1+F$54)+Bridge!$D$48-Bridge!$D$49</f>
        <v>-1734921.2499999981</v>
      </c>
      <c r="G58" s="61">
        <f>Bridge!$D$46*(1+$B58)*(1+G$54)+Bridge!$D$47*(1+G$54)+Bridge!$D$48-Bridge!$D$49</f>
        <v>-1359149.9999999981</v>
      </c>
      <c r="H58" s="61">
        <f>Bridge!$D$46*(1+$B58)*(1+H$54)+Bridge!$D$47*(1+H$54)+Bridge!$D$48-Bridge!$D$49</f>
        <v>-983378.75</v>
      </c>
      <c r="I58" s="61">
        <f>Bridge!$D$46*(1+$B58)*(1+I$54)+Bridge!$D$47*(1+I$54)+Bridge!$D$48-Bridge!$D$49</f>
        <v>-607607.49999999814</v>
      </c>
      <c r="J58" s="61">
        <f>Bridge!$D$46*(1+$B58)*(1+J$54)+Bridge!$D$47*(1+J$54)+Bridge!$D$48-Bridge!$D$49</f>
        <v>-231836.24999999814</v>
      </c>
      <c r="K58" s="62">
        <f>Bridge!$D$46*(1+$B58)*(1+K$54)+Bridge!$D$47*(1+K$54)+Bridge!$D$48-Bridge!$D$49</f>
        <v>143935.00000000373</v>
      </c>
    </row>
    <row r="59" spans="2:11">
      <c r="B59" s="59">
        <v>0</v>
      </c>
      <c r="C59" s="60">
        <f>Bridge!$D$46*(1+$B59)*(1+C$54)+Bridge!$D$47*(1+C$54)+Bridge!$D$48-Bridge!$D$49</f>
        <v>-2147049.9999999981</v>
      </c>
      <c r="D59" s="61">
        <f>Bridge!$D$46*(1+$B59)*(1+D$54)+Bridge!$D$47*(1+D$54)+Bridge!$D$48-Bridge!$D$49</f>
        <v>-1751412.4999999981</v>
      </c>
      <c r="E59" s="61">
        <f>Bridge!$D$46*(1+$B59)*(1+E$54)+Bridge!$D$47*(1+E$54)+Bridge!$D$48-Bridge!$D$49</f>
        <v>-1355774.9999999981</v>
      </c>
      <c r="F59" s="61">
        <f>Bridge!$D$46*(1+$B59)*(1+F$54)+Bridge!$D$47*(1+F$54)+Bridge!$D$48-Bridge!$D$49</f>
        <v>-960137.49999999814</v>
      </c>
      <c r="G59" s="61">
        <f>Bridge!$D$46*(1+$B59)*(1+G$54)+Bridge!$D$47*(1+G$54)+Bridge!$D$48-Bridge!$D$49</f>
        <v>-564499.99999999814</v>
      </c>
      <c r="H59" s="61">
        <f>Bridge!$D$46*(1+$B59)*(1+H$54)+Bridge!$D$47*(1+H$54)+Bridge!$D$48-Bridge!$D$49</f>
        <v>-168862.5</v>
      </c>
      <c r="I59" s="61">
        <f>Bridge!$D$46*(1+$B59)*(1+I$54)+Bridge!$D$47*(1+I$54)+Bridge!$D$48-Bridge!$D$49</f>
        <v>226775.00000000186</v>
      </c>
      <c r="J59" s="61">
        <f>Bridge!$D$46*(1+$B59)*(1+J$54)+Bridge!$D$47*(1+J$54)+Bridge!$D$48-Bridge!$D$49</f>
        <v>622412.5</v>
      </c>
      <c r="K59" s="62">
        <f>Bridge!$D$46*(1+$B59)*(1+K$54)+Bridge!$D$47*(1+K$54)+Bridge!$D$48-Bridge!$D$49</f>
        <v>1018050.0000000037</v>
      </c>
    </row>
    <row r="60" spans="2:11">
      <c r="B60" s="59">
        <v>0.05</v>
      </c>
      <c r="C60" s="60">
        <f>Bridge!$D$46*(1+$B60)*(1+C$54)+Bridge!$D$47*(1+C$54)+Bridge!$D$48-Bridge!$D$49</f>
        <v>-1431864.9999999981</v>
      </c>
      <c r="D60" s="61">
        <f>Bridge!$D$46*(1+$B60)*(1+D$54)+Bridge!$D$47*(1+D$54)+Bridge!$D$48-Bridge!$D$49</f>
        <v>-1016361.2499999981</v>
      </c>
      <c r="E60" s="61">
        <f>Bridge!$D$46*(1+$B60)*(1+E$54)+Bridge!$D$47*(1+E$54)+Bridge!$D$48-Bridge!$D$49</f>
        <v>-600857.49999999814</v>
      </c>
      <c r="F60" s="61">
        <f>Bridge!$D$46*(1+$B60)*(1+F$54)+Bridge!$D$47*(1+F$54)+Bridge!$D$48-Bridge!$D$49</f>
        <v>-185353.74999999814</v>
      </c>
      <c r="G60" s="61">
        <f>Bridge!$D$46*(1+$B60)*(1+G$54)+Bridge!$D$47*(1+G$54)+Bridge!$D$48-Bridge!$D$49</f>
        <v>230150.00000000186</v>
      </c>
      <c r="H60" s="61">
        <f>Bridge!$D$46*(1+$B60)*(1+H$54)+Bridge!$D$47*(1+H$54)+Bridge!$D$48-Bridge!$D$49</f>
        <v>645653.75</v>
      </c>
      <c r="I60" s="61">
        <f>Bridge!$D$46*(1+$B60)*(1+I$54)+Bridge!$D$47*(1+I$54)+Bridge!$D$48-Bridge!$D$49</f>
        <v>1061157.5000000037</v>
      </c>
      <c r="J60" s="61">
        <f>Bridge!$D$46*(1+$B60)*(1+J$54)+Bridge!$D$47*(1+J$54)+Bridge!$D$48-Bridge!$D$49</f>
        <v>1476661.25</v>
      </c>
      <c r="K60" s="62">
        <f>Bridge!$D$46*(1+$B60)*(1+K$54)+Bridge!$D$47*(1+K$54)+Bridge!$D$48-Bridge!$D$49</f>
        <v>1892165.0000000037</v>
      </c>
    </row>
    <row r="61" spans="2:11">
      <c r="B61" s="59">
        <v>0.1</v>
      </c>
      <c r="C61" s="60">
        <f>Bridge!$D$46*(1+$B61)*(1+C$54)+Bridge!$D$47*(1+C$54)+Bridge!$D$48-Bridge!$D$49</f>
        <v>-716679.99999999627</v>
      </c>
      <c r="D61" s="61">
        <f>Bridge!$D$46*(1+$B61)*(1+D$54)+Bridge!$D$47*(1+D$54)+Bridge!$D$48-Bridge!$D$49</f>
        <v>-281309.99999999627</v>
      </c>
      <c r="E61" s="61">
        <f>Bridge!$D$46*(1+$B61)*(1+E$54)+Bridge!$D$47*(1+E$54)+Bridge!$D$48-Bridge!$D$49</f>
        <v>154060.00000000186</v>
      </c>
      <c r="F61" s="61">
        <f>Bridge!$D$46*(1+$B61)*(1+F$54)+Bridge!$D$47*(1+F$54)+Bridge!$D$48-Bridge!$D$49</f>
        <v>589430.00000000373</v>
      </c>
      <c r="G61" s="61">
        <f>Bridge!$D$46*(1+$B61)*(1+G$54)+Bridge!$D$47*(1+G$54)+Bridge!$D$48-Bridge!$D$49</f>
        <v>1024800.0000000037</v>
      </c>
      <c r="H61" s="61">
        <f>Bridge!$D$46*(1+$B61)*(1+H$54)+Bridge!$D$47*(1+H$54)+Bridge!$D$48-Bridge!$D$49</f>
        <v>1460170.0000000037</v>
      </c>
      <c r="I61" s="61">
        <f>Bridge!$D$46*(1+$B61)*(1+I$54)+Bridge!$D$47*(1+I$54)+Bridge!$D$48-Bridge!$D$49</f>
        <v>1895540.0000000037</v>
      </c>
      <c r="J61" s="61">
        <f>Bridge!$D$46*(1+$B61)*(1+J$54)+Bridge!$D$47*(1+J$54)+Bridge!$D$48-Bridge!$D$49</f>
        <v>2330910.0000000037</v>
      </c>
      <c r="K61" s="62">
        <f>Bridge!$D$46*(1+$B61)*(1+K$54)+Bridge!$D$47*(1+K$54)+Bridge!$D$48-Bridge!$D$49</f>
        <v>2766280.0000000075</v>
      </c>
    </row>
    <row r="62" spans="2:11">
      <c r="B62" s="59">
        <v>0.15</v>
      </c>
      <c r="C62" s="60">
        <f>Bridge!$D$46*(1+$B62)*(1+C$54)+Bridge!$D$47*(1+C$54)+Bridge!$D$48-Bridge!$D$49</f>
        <v>-1495</v>
      </c>
      <c r="D62" s="61">
        <f>Bridge!$D$46*(1+$B62)*(1+D$54)+Bridge!$D$47*(1+D$54)+Bridge!$D$48-Bridge!$D$49</f>
        <v>453741.25</v>
      </c>
      <c r="E62" s="61">
        <f>Bridge!$D$46*(1+$B62)*(1+E$54)+Bridge!$D$47*(1+E$54)+Bridge!$D$48-Bridge!$D$49</f>
        <v>908977.5</v>
      </c>
      <c r="F62" s="61">
        <f>Bridge!$D$46*(1+$B62)*(1+F$54)+Bridge!$D$47*(1+F$54)+Bridge!$D$48-Bridge!$D$49</f>
        <v>1364213.75</v>
      </c>
      <c r="G62" s="61">
        <f>Bridge!$D$46*(1+$B62)*(1+G$54)+Bridge!$D$47*(1+G$54)+Bridge!$D$48-Bridge!$D$49</f>
        <v>1819450</v>
      </c>
      <c r="H62" s="61">
        <f>Bridge!$D$46*(1+$B62)*(1+H$54)+Bridge!$D$47*(1+H$54)+Bridge!$D$48-Bridge!$D$49</f>
        <v>2274686.25</v>
      </c>
      <c r="I62" s="61">
        <f>Bridge!$D$46*(1+$B62)*(1+I$54)+Bridge!$D$47*(1+I$54)+Bridge!$D$48-Bridge!$D$49</f>
        <v>2729922.5</v>
      </c>
      <c r="J62" s="61">
        <f>Bridge!$D$46*(1+$B62)*(1+J$54)+Bridge!$D$47*(1+J$54)+Bridge!$D$48-Bridge!$D$49</f>
        <v>3185158.75</v>
      </c>
      <c r="K62" s="62">
        <f>Bridge!$D$46*(1+$B62)*(1+K$54)+Bridge!$D$47*(1+K$54)+Bridge!$D$48-Bridge!$D$49</f>
        <v>3640395</v>
      </c>
    </row>
    <row r="63" spans="2:11">
      <c r="B63" s="63">
        <v>0.2</v>
      </c>
      <c r="C63" s="64">
        <f>Bridge!$D$46*(1+$B63)*(1+C$54)+Bridge!$D$47*(1+C$54)+Bridge!$D$48-Bridge!$D$49</f>
        <v>713690</v>
      </c>
      <c r="D63" s="65">
        <f>Bridge!$D$46*(1+$B63)*(1+D$54)+Bridge!$D$47*(1+D$54)+Bridge!$D$48-Bridge!$D$49</f>
        <v>1188792.5</v>
      </c>
      <c r="E63" s="65">
        <f>Bridge!$D$46*(1+$B63)*(1+E$54)+Bridge!$D$47*(1+E$54)+Bridge!$D$48-Bridge!$D$49</f>
        <v>1663895</v>
      </c>
      <c r="F63" s="65">
        <f>Bridge!$D$46*(1+$B63)*(1+F$54)+Bridge!$D$47*(1+F$54)+Bridge!$D$48-Bridge!$D$49</f>
        <v>2138997.5</v>
      </c>
      <c r="G63" s="65">
        <f>Bridge!$D$46*(1+$B63)*(1+G$54)+Bridge!$D$47*(1+G$54)+Bridge!$D$48-Bridge!$D$49</f>
        <v>2614100</v>
      </c>
      <c r="H63" s="65">
        <f>Bridge!$D$46*(1+$B63)*(1+H$54)+Bridge!$D$47*(1+H$54)+Bridge!$D$48-Bridge!$D$49</f>
        <v>3089202.5</v>
      </c>
      <c r="I63" s="65">
        <f>Bridge!$D$46*(1+$B63)*(1+I$54)+Bridge!$D$47*(1+I$54)+Bridge!$D$48-Bridge!$D$49</f>
        <v>3564305</v>
      </c>
      <c r="J63" s="65">
        <f>Bridge!$D$46*(1+$B63)*(1+J$54)+Bridge!$D$47*(1+J$54)+Bridge!$D$48-Bridge!$D$49</f>
        <v>4039407.5</v>
      </c>
      <c r="K63" s="66">
        <f>Bridge!$D$46*(1+$B63)*(1+K$54)+Bridge!$D$47*(1+K$54)+Bridge!$D$48-Bridge!$D$49</f>
        <v>4514510</v>
      </c>
    </row>
  </sheetData>
  <sheetProtection sheet="1" formatCells="0" formatColumns="0" formatRows="0"/>
  <mergeCells count="30">
    <mergeCell ref="C7:D7"/>
    <mergeCell ref="E7:F7"/>
    <mergeCell ref="F14:M14"/>
    <mergeCell ref="I24:J24"/>
    <mergeCell ref="C53:K53"/>
    <mergeCell ref="I23:J23"/>
    <mergeCell ref="I8:J8"/>
    <mergeCell ref="F13:M13"/>
    <mergeCell ref="C8:D8"/>
    <mergeCell ref="K7:M7"/>
    <mergeCell ref="I21:J21"/>
    <mergeCell ref="E6:F6"/>
    <mergeCell ref="F17:M17"/>
    <mergeCell ref="K6:M6"/>
    <mergeCell ref="C6:D6"/>
    <mergeCell ref="I6:J6"/>
    <mergeCell ref="F11:M11"/>
    <mergeCell ref="F16:M16"/>
    <mergeCell ref="I27:J27"/>
    <mergeCell ref="G8:H8"/>
    <mergeCell ref="I26:J26"/>
    <mergeCell ref="E8:F8"/>
    <mergeCell ref="K8:M8"/>
    <mergeCell ref="F12:M12"/>
    <mergeCell ref="G7:H7"/>
    <mergeCell ref="F15:M15"/>
    <mergeCell ref="I7:J7"/>
    <mergeCell ref="I25:J25"/>
    <mergeCell ref="G6:H6"/>
    <mergeCell ref="I22:J22"/>
  </mergeCells>
  <conditionalFormatting sqref="C13:C16">
    <cfRule type="cellIs" dxfId="16" priority="1" operator="greaterThan">
      <formula>0.004</formula>
    </cfRule>
    <cfRule type="cellIs" dxfId="15" priority="2" operator="lessThan">
      <formula>-0.004</formula>
    </cfRule>
  </conditionalFormatting>
  <conditionalFormatting sqref="C55:K63">
    <cfRule type="cellIs" dxfId="13" priority="8" operator="greaterThan">
      <formula>0.5</formula>
    </cfRule>
    <cfRule type="cellIs" dxfId="12" priority="9" operator="lessThan">
      <formula>-0.5</formula>
    </cfRule>
  </conditionalFormatting>
  <conditionalFormatting sqref="E22:F26">
    <cfRule type="cellIs" dxfId="11" priority="3" operator="greaterThan">
      <formula>0.004</formula>
    </cfRule>
    <cfRule type="cellIs" dxfId="10" priority="4" operator="lessThan">
      <formula>-0.004</formula>
    </cfRule>
  </conditionalFormatting>
  <conditionalFormatting sqref="K22:K27">
    <cfRule type="cellIs" dxfId="9" priority="5" operator="greaterThan">
      <formula>0.004</formula>
    </cfRule>
    <cfRule type="cellIs" dxfId="8" priority="6" operator="lessThan">
      <formula>-0.004</formula>
    </cfRule>
  </conditionalFormatting>
  <pageMargins left="0.75" right="0.75" top="1" bottom="1" header="0.5" footer="0.5"/>
  <pageSetup fitToHeight="0" orientation="landscape"/>
  <headerFooter>
    <oddFooter>&amp;LSeizmic FP&amp;&amp;A | Variance Bridge Analysis Workbook | Seizmic proprietary&amp;RPage &amp;P of &amp;N</oddFooter>
  </headerFooter>
  <rowBreaks count="1" manualBreakCount="1">
    <brk id="29" max="16383" man="1"/>
  </rowBreaks>
  <drawing r:id="rId1"/>
  <extLst>
    <ext xmlns:x14="http://schemas.microsoft.com/office/spreadsheetml/2009/9/main" uri="{78C0D931-6437-407d-A8EE-F0AAD7539E65}">
      <x14:conditionalFormattings>
        <x14:conditionalFormatting xmlns:xm="http://schemas.microsoft.com/office/excel/2006/main">
          <x14:cfRule type="expression" priority="7" id="{00000000-000E-0000-0200-000007000000}">
            <xm:f>AND(ROUND($B55,4)=ROUND('What-If'!$D$7,4),ROUND(C$54,4)=ROUND('What-If'!$D$8,4))</xm:f>
            <x14:dxf>
              <font>
                <b/>
                <color rgb="FF05272D"/>
              </font>
              <fill>
                <patternFill patternType="solid">
                  <fgColor rgb="FFE1E33F"/>
                  <bgColor rgb="FFE1E33F"/>
                </patternFill>
              </fill>
              <border>
                <left style="thin">
                  <color rgb="FF05272D"/>
                </left>
                <right style="thin">
                  <color rgb="FF05272D"/>
                </right>
                <top style="thin">
                  <color rgb="FF05272D"/>
                </top>
                <bottom style="thin">
                  <color rgb="FF05272D"/>
                </bottom>
              </border>
            </x14:dxf>
          </x14:cfRule>
          <xm:sqref>C55:K63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5272D"/>
    <pageSetUpPr fitToPage="1"/>
  </sheetPr>
  <dimension ref="B1:I38"/>
  <sheetViews>
    <sheetView showGridLines="0" workbookViewId="0">
      <pane xSplit="3" ySplit="11" topLeftCell="D12" activePane="bottomRight" state="frozen"/>
      <selection pane="topRight"/>
      <selection pane="bottomLeft"/>
      <selection pane="bottomRight"/>
    </sheetView>
  </sheetViews>
  <sheetFormatPr defaultRowHeight="15"/>
  <cols>
    <col min="1" max="1" width="3" customWidth="1"/>
    <col min="2" max="2" width="5" customWidth="1"/>
    <col min="3" max="3" width="30" customWidth="1"/>
    <col min="4" max="4" width="18" customWidth="1"/>
    <col min="5" max="6" width="15" customWidth="1"/>
    <col min="7" max="7" width="16" customWidth="1"/>
    <col min="8" max="8" width="12" customWidth="1"/>
    <col min="9" max="9" width="40" customWidth="1"/>
  </cols>
  <sheetData>
    <row r="1" spans="2:9" ht="8.1" customHeight="1"/>
    <row r="2" spans="2:9" ht="24.6" customHeight="1"/>
    <row r="3" spans="2:9" ht="21.95" customHeight="1">
      <c r="B3" s="16" t="s">
        <v>148</v>
      </c>
    </row>
    <row r="4" spans="2:9">
      <c r="B4" s="17" t="s">
        <v>149</v>
      </c>
      <c r="C4" s="18"/>
      <c r="D4" s="18"/>
      <c r="E4" s="18"/>
      <c r="F4" s="18"/>
      <c r="G4" s="18"/>
      <c r="H4" s="18"/>
      <c r="I4" s="18"/>
    </row>
    <row r="6" spans="2:9">
      <c r="C6" s="7" t="s">
        <v>150</v>
      </c>
      <c r="D6" s="159" t="s">
        <v>151</v>
      </c>
      <c r="E6" s="160"/>
      <c r="G6" s="7" t="s">
        <v>152</v>
      </c>
    </row>
    <row r="7" spans="2:9">
      <c r="C7" s="7" t="s">
        <v>153</v>
      </c>
      <c r="D7" s="159" t="s">
        <v>154</v>
      </c>
      <c r="E7" s="160"/>
      <c r="G7" s="68" t="s">
        <v>111</v>
      </c>
      <c r="H7" s="69" t="s">
        <v>155</v>
      </c>
    </row>
    <row r="8" spans="2:9">
      <c r="C8" s="7" t="s">
        <v>156</v>
      </c>
      <c r="D8" s="159" t="s">
        <v>157</v>
      </c>
      <c r="E8" s="160"/>
      <c r="G8" s="8" t="s">
        <v>113</v>
      </c>
      <c r="H8" s="69" t="s">
        <v>158</v>
      </c>
    </row>
    <row r="9" spans="2:9">
      <c r="C9" s="7" t="s">
        <v>159</v>
      </c>
      <c r="D9" s="159" t="s">
        <v>9</v>
      </c>
      <c r="E9" s="160"/>
      <c r="G9" s="22" t="s">
        <v>160</v>
      </c>
    </row>
    <row r="11" spans="2:9" ht="31.35" customHeight="1">
      <c r="B11" s="10" t="s">
        <v>161</v>
      </c>
      <c r="C11" s="11" t="s">
        <v>162</v>
      </c>
      <c r="D11" s="11" t="s">
        <v>163</v>
      </c>
      <c r="E11" s="11" t="s">
        <v>164</v>
      </c>
      <c r="F11" s="11" t="s">
        <v>165</v>
      </c>
      <c r="G11" s="11" t="s">
        <v>1</v>
      </c>
      <c r="H11" s="11" t="s">
        <v>24</v>
      </c>
      <c r="I11" s="31" t="s">
        <v>166</v>
      </c>
    </row>
    <row r="12" spans="2:9">
      <c r="B12" s="45">
        <v>1</v>
      </c>
      <c r="C12" s="67" t="s">
        <v>167</v>
      </c>
      <c r="D12" s="67" t="s">
        <v>168</v>
      </c>
      <c r="E12" s="70">
        <v>30000</v>
      </c>
      <c r="F12" s="71">
        <v>200</v>
      </c>
      <c r="G12" s="43">
        <f t="shared" ref="G12:G36" si="0">N(E12)*N(F12)</f>
        <v>6000000</v>
      </c>
      <c r="H12" s="46">
        <f t="shared" ref="H12:H36" si="1">IF($E$37=0,0,N(E12)/$E$37)</f>
        <v>0.26666666666666666</v>
      </c>
      <c r="I12" s="72" t="s">
        <v>169</v>
      </c>
    </row>
    <row r="13" spans="2:9">
      <c r="B13" s="45">
        <v>2</v>
      </c>
      <c r="C13" s="67" t="s">
        <v>170</v>
      </c>
      <c r="D13" s="67" t="s">
        <v>168</v>
      </c>
      <c r="E13" s="70">
        <v>12000</v>
      </c>
      <c r="F13" s="71">
        <v>340</v>
      </c>
      <c r="G13" s="43">
        <f t="shared" si="0"/>
        <v>4080000</v>
      </c>
      <c r="H13" s="46">
        <f t="shared" si="1"/>
        <v>0.10666666666666667</v>
      </c>
      <c r="I13" s="72" t="s">
        <v>171</v>
      </c>
    </row>
    <row r="14" spans="2:9">
      <c r="B14" s="45">
        <v>3</v>
      </c>
      <c r="C14" s="67" t="s">
        <v>172</v>
      </c>
      <c r="D14" s="67" t="s">
        <v>173</v>
      </c>
      <c r="E14" s="70">
        <v>50000</v>
      </c>
      <c r="F14" s="71">
        <v>80</v>
      </c>
      <c r="G14" s="43">
        <f t="shared" si="0"/>
        <v>4000000</v>
      </c>
      <c r="H14" s="46">
        <f t="shared" si="1"/>
        <v>0.44444444444444442</v>
      </c>
      <c r="I14" s="72" t="s">
        <v>171</v>
      </c>
    </row>
    <row r="15" spans="2:9">
      <c r="B15" s="45">
        <v>4</v>
      </c>
      <c r="C15" s="67" t="s">
        <v>174</v>
      </c>
      <c r="D15" s="67" t="s">
        <v>175</v>
      </c>
      <c r="E15" s="70">
        <v>18000</v>
      </c>
      <c r="F15" s="71">
        <v>45</v>
      </c>
      <c r="G15" s="43">
        <f t="shared" si="0"/>
        <v>810000</v>
      </c>
      <c r="H15" s="46">
        <f t="shared" si="1"/>
        <v>0.16</v>
      </c>
      <c r="I15" s="72" t="s">
        <v>171</v>
      </c>
    </row>
    <row r="16" spans="2:9">
      <c r="B16" s="45">
        <v>5</v>
      </c>
      <c r="C16" s="67" t="s">
        <v>176</v>
      </c>
      <c r="D16" s="67" t="s">
        <v>177</v>
      </c>
      <c r="E16" s="70">
        <v>2500</v>
      </c>
      <c r="F16" s="71">
        <v>600</v>
      </c>
      <c r="G16" s="43">
        <f t="shared" si="0"/>
        <v>1500000</v>
      </c>
      <c r="H16" s="46">
        <f t="shared" si="1"/>
        <v>2.2222222222222223E-2</v>
      </c>
      <c r="I16" s="72" t="s">
        <v>178</v>
      </c>
    </row>
    <row r="17" spans="2:9">
      <c r="B17" s="45">
        <v>6</v>
      </c>
      <c r="C17" s="67"/>
      <c r="D17" s="67"/>
      <c r="E17" s="70"/>
      <c r="F17" s="71"/>
      <c r="G17" s="43">
        <f t="shared" si="0"/>
        <v>0</v>
      </c>
      <c r="H17" s="46">
        <f t="shared" si="1"/>
        <v>0</v>
      </c>
      <c r="I17" s="72"/>
    </row>
    <row r="18" spans="2:9">
      <c r="B18" s="45">
        <v>7</v>
      </c>
      <c r="C18" s="67"/>
      <c r="D18" s="67"/>
      <c r="E18" s="70"/>
      <c r="F18" s="71"/>
      <c r="G18" s="43">
        <f t="shared" si="0"/>
        <v>0</v>
      </c>
      <c r="H18" s="46">
        <f t="shared" si="1"/>
        <v>0</v>
      </c>
      <c r="I18" s="72"/>
    </row>
    <row r="19" spans="2:9">
      <c r="B19" s="45">
        <v>8</v>
      </c>
      <c r="C19" s="67"/>
      <c r="D19" s="67"/>
      <c r="E19" s="70"/>
      <c r="F19" s="71"/>
      <c r="G19" s="43">
        <f t="shared" si="0"/>
        <v>0</v>
      </c>
      <c r="H19" s="46">
        <f t="shared" si="1"/>
        <v>0</v>
      </c>
      <c r="I19" s="72"/>
    </row>
    <row r="20" spans="2:9">
      <c r="B20" s="45">
        <v>9</v>
      </c>
      <c r="C20" s="67"/>
      <c r="D20" s="67"/>
      <c r="E20" s="70"/>
      <c r="F20" s="71"/>
      <c r="G20" s="43">
        <f t="shared" si="0"/>
        <v>0</v>
      </c>
      <c r="H20" s="46">
        <f t="shared" si="1"/>
        <v>0</v>
      </c>
      <c r="I20" s="72"/>
    </row>
    <row r="21" spans="2:9">
      <c r="B21" s="45">
        <v>10</v>
      </c>
      <c r="C21" s="67"/>
      <c r="D21" s="67"/>
      <c r="E21" s="70"/>
      <c r="F21" s="71"/>
      <c r="G21" s="43">
        <f t="shared" si="0"/>
        <v>0</v>
      </c>
      <c r="H21" s="46">
        <f t="shared" si="1"/>
        <v>0</v>
      </c>
      <c r="I21" s="72"/>
    </row>
    <row r="22" spans="2:9">
      <c r="B22" s="45">
        <v>11</v>
      </c>
      <c r="C22" s="67"/>
      <c r="D22" s="67"/>
      <c r="E22" s="70"/>
      <c r="F22" s="71"/>
      <c r="G22" s="43">
        <f t="shared" si="0"/>
        <v>0</v>
      </c>
      <c r="H22" s="46">
        <f t="shared" si="1"/>
        <v>0</v>
      </c>
      <c r="I22" s="72"/>
    </row>
    <row r="23" spans="2:9">
      <c r="B23" s="45">
        <v>12</v>
      </c>
      <c r="C23" s="67"/>
      <c r="D23" s="67"/>
      <c r="E23" s="70"/>
      <c r="F23" s="71"/>
      <c r="G23" s="43">
        <f t="shared" si="0"/>
        <v>0</v>
      </c>
      <c r="H23" s="46">
        <f t="shared" si="1"/>
        <v>0</v>
      </c>
      <c r="I23" s="72"/>
    </row>
    <row r="24" spans="2:9">
      <c r="B24" s="45">
        <v>13</v>
      </c>
      <c r="C24" s="67"/>
      <c r="D24" s="67"/>
      <c r="E24" s="70"/>
      <c r="F24" s="71"/>
      <c r="G24" s="43">
        <f t="shared" si="0"/>
        <v>0</v>
      </c>
      <c r="H24" s="46">
        <f t="shared" si="1"/>
        <v>0</v>
      </c>
      <c r="I24" s="72"/>
    </row>
    <row r="25" spans="2:9">
      <c r="B25" s="45">
        <v>14</v>
      </c>
      <c r="C25" s="67"/>
      <c r="D25" s="67"/>
      <c r="E25" s="70"/>
      <c r="F25" s="71"/>
      <c r="G25" s="43">
        <f t="shared" si="0"/>
        <v>0</v>
      </c>
      <c r="H25" s="46">
        <f t="shared" si="1"/>
        <v>0</v>
      </c>
      <c r="I25" s="72"/>
    </row>
    <row r="26" spans="2:9">
      <c r="B26" s="45">
        <v>15</v>
      </c>
      <c r="C26" s="67"/>
      <c r="D26" s="67"/>
      <c r="E26" s="70"/>
      <c r="F26" s="71"/>
      <c r="G26" s="43">
        <f t="shared" si="0"/>
        <v>0</v>
      </c>
      <c r="H26" s="46">
        <f t="shared" si="1"/>
        <v>0</v>
      </c>
      <c r="I26" s="72"/>
    </row>
    <row r="27" spans="2:9">
      <c r="B27" s="45">
        <v>16</v>
      </c>
      <c r="C27" s="67"/>
      <c r="D27" s="67"/>
      <c r="E27" s="70"/>
      <c r="F27" s="71"/>
      <c r="G27" s="43">
        <f t="shared" si="0"/>
        <v>0</v>
      </c>
      <c r="H27" s="46">
        <f t="shared" si="1"/>
        <v>0</v>
      </c>
      <c r="I27" s="72"/>
    </row>
    <row r="28" spans="2:9">
      <c r="B28" s="45">
        <v>17</v>
      </c>
      <c r="C28" s="67"/>
      <c r="D28" s="67"/>
      <c r="E28" s="70"/>
      <c r="F28" s="71"/>
      <c r="G28" s="43">
        <f t="shared" si="0"/>
        <v>0</v>
      </c>
      <c r="H28" s="46">
        <f t="shared" si="1"/>
        <v>0</v>
      </c>
      <c r="I28" s="72"/>
    </row>
    <row r="29" spans="2:9">
      <c r="B29" s="45">
        <v>18</v>
      </c>
      <c r="C29" s="67"/>
      <c r="D29" s="67"/>
      <c r="E29" s="70"/>
      <c r="F29" s="71"/>
      <c r="G29" s="43">
        <f t="shared" si="0"/>
        <v>0</v>
      </c>
      <c r="H29" s="46">
        <f t="shared" si="1"/>
        <v>0</v>
      </c>
      <c r="I29" s="72"/>
    </row>
    <row r="30" spans="2:9">
      <c r="B30" s="45">
        <v>19</v>
      </c>
      <c r="C30" s="67"/>
      <c r="D30" s="67"/>
      <c r="E30" s="70"/>
      <c r="F30" s="71"/>
      <c r="G30" s="43">
        <f t="shared" si="0"/>
        <v>0</v>
      </c>
      <c r="H30" s="46">
        <f t="shared" si="1"/>
        <v>0</v>
      </c>
      <c r="I30" s="72"/>
    </row>
    <row r="31" spans="2:9">
      <c r="B31" s="45">
        <v>20</v>
      </c>
      <c r="C31" s="67"/>
      <c r="D31" s="67"/>
      <c r="E31" s="70"/>
      <c r="F31" s="71"/>
      <c r="G31" s="43">
        <f t="shared" si="0"/>
        <v>0</v>
      </c>
      <c r="H31" s="46">
        <f t="shared" si="1"/>
        <v>0</v>
      </c>
      <c r="I31" s="72"/>
    </row>
    <row r="32" spans="2:9">
      <c r="B32" s="45">
        <v>21</v>
      </c>
      <c r="C32" s="67"/>
      <c r="D32" s="67"/>
      <c r="E32" s="70"/>
      <c r="F32" s="71"/>
      <c r="G32" s="43">
        <f t="shared" si="0"/>
        <v>0</v>
      </c>
      <c r="H32" s="46">
        <f t="shared" si="1"/>
        <v>0</v>
      </c>
      <c r="I32" s="72"/>
    </row>
    <row r="33" spans="2:9">
      <c r="B33" s="45">
        <v>22</v>
      </c>
      <c r="C33" s="67"/>
      <c r="D33" s="67"/>
      <c r="E33" s="70"/>
      <c r="F33" s="71"/>
      <c r="G33" s="43">
        <f t="shared" si="0"/>
        <v>0</v>
      </c>
      <c r="H33" s="46">
        <f t="shared" si="1"/>
        <v>0</v>
      </c>
      <c r="I33" s="72"/>
    </row>
    <row r="34" spans="2:9">
      <c r="B34" s="45">
        <v>23</v>
      </c>
      <c r="C34" s="67"/>
      <c r="D34" s="67"/>
      <c r="E34" s="70"/>
      <c r="F34" s="71"/>
      <c r="G34" s="43">
        <f t="shared" si="0"/>
        <v>0</v>
      </c>
      <c r="H34" s="46">
        <f t="shared" si="1"/>
        <v>0</v>
      </c>
      <c r="I34" s="72"/>
    </row>
    <row r="35" spans="2:9">
      <c r="B35" s="45">
        <v>24</v>
      </c>
      <c r="C35" s="67"/>
      <c r="D35" s="67"/>
      <c r="E35" s="70"/>
      <c r="F35" s="71"/>
      <c r="G35" s="43">
        <f t="shared" si="0"/>
        <v>0</v>
      </c>
      <c r="H35" s="46">
        <f t="shared" si="1"/>
        <v>0</v>
      </c>
      <c r="I35" s="72"/>
    </row>
    <row r="36" spans="2:9">
      <c r="B36" s="45">
        <v>25</v>
      </c>
      <c r="C36" s="67"/>
      <c r="D36" s="67"/>
      <c r="E36" s="70"/>
      <c r="F36" s="71"/>
      <c r="G36" s="43">
        <f t="shared" si="0"/>
        <v>0</v>
      </c>
      <c r="H36" s="46">
        <f t="shared" si="1"/>
        <v>0</v>
      </c>
      <c r="I36" s="72"/>
    </row>
    <row r="37" spans="2:9">
      <c r="B37" s="73"/>
      <c r="C37" s="74" t="s">
        <v>179</v>
      </c>
      <c r="D37" s="74"/>
      <c r="E37" s="75">
        <f>SUM(E12:E36)</f>
        <v>112500</v>
      </c>
      <c r="F37" s="76">
        <f>IF(E37=0,0,G37/E37)</f>
        <v>145.6888888888889</v>
      </c>
      <c r="G37" s="75">
        <f>SUM(G12:G36)</f>
        <v>16390000</v>
      </c>
      <c r="H37" s="77">
        <f>SUM(H12:H36)</f>
        <v>1</v>
      </c>
      <c r="I37" s="78"/>
    </row>
    <row r="38" spans="2:9">
      <c r="F38" s="79" t="s">
        <v>180</v>
      </c>
    </row>
  </sheetData>
  <sheetProtection sheet="1" formatCells="0" formatColumns="0" formatRows="0"/>
  <mergeCells count="4">
    <mergeCell ref="D8:E8"/>
    <mergeCell ref="D6:E6"/>
    <mergeCell ref="D9:E9"/>
    <mergeCell ref="D7:E7"/>
  </mergeCells>
  <dataValidations count="1">
    <dataValidation type="decimal" operator="greaterThanOrEqual" allowBlank="1" showErrorMessage="1" errorTitle="Invalid value" error="Enter a number of zero or more." sqref="E12:F36" xr:uid="{00000000-0002-0000-0300-000000000000}">
      <formula1>0</formula1>
    </dataValidation>
  </dataValidations>
  <pageMargins left="0.75" right="0.75" top="1" bottom="1" header="0.5" footer="0.5"/>
  <pageSetup fitToHeight="0" orientation="landscape"/>
  <headerFooter>
    <oddFooter>&amp;LSeizmic FP&amp;&amp;A | Variance Bridge Analysis Workbook | Seizmic proprietary&amp;RPage &amp;P of &amp;N</oddFooter>
  </headerFooter>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5272D"/>
    <pageSetUpPr fitToPage="1"/>
  </sheetPr>
  <dimension ref="B1:S38"/>
  <sheetViews>
    <sheetView showGridLines="0" workbookViewId="0">
      <pane xSplit="3" ySplit="12" topLeftCell="D13" activePane="bottomRight" state="frozen"/>
      <selection pane="topRight"/>
      <selection pane="bottomLeft"/>
      <selection pane="bottomRight"/>
    </sheetView>
  </sheetViews>
  <sheetFormatPr defaultRowHeight="15"/>
  <cols>
    <col min="1" max="1" width="3" customWidth="1"/>
    <col min="2" max="2" width="5" customWidth="1"/>
    <col min="3" max="3" width="28" customWidth="1"/>
    <col min="4" max="5" width="13" customWidth="1"/>
    <col min="6" max="6" width="12" customWidth="1"/>
    <col min="7" max="7" width="13" customWidth="1"/>
    <col min="8" max="8" width="12" customWidth="1"/>
    <col min="9" max="9" width="13" customWidth="1"/>
    <col min="10" max="10" width="12" customWidth="1"/>
    <col min="11" max="11" width="13" customWidth="1"/>
    <col min="12" max="12" width="14" customWidth="1"/>
    <col min="13" max="15" width="13" customWidth="1"/>
    <col min="16" max="16" width="15" customWidth="1"/>
    <col min="17" max="17" width="14" customWidth="1"/>
    <col min="18" max="19" width="15" customWidth="1"/>
  </cols>
  <sheetData>
    <row r="1" spans="2:19" ht="8.1" customHeight="1"/>
    <row r="2" spans="2:19" ht="24.6" customHeight="1"/>
    <row r="3" spans="2:19" ht="21.95" customHeight="1">
      <c r="B3" s="16" t="s">
        <v>181</v>
      </c>
    </row>
    <row r="4" spans="2:19">
      <c r="B4" s="17" t="s">
        <v>182</v>
      </c>
      <c r="C4" s="18"/>
      <c r="D4" s="18"/>
      <c r="E4" s="18"/>
      <c r="F4" s="18"/>
      <c r="G4" s="18"/>
      <c r="H4" s="18"/>
      <c r="I4" s="18"/>
      <c r="J4" s="18"/>
      <c r="K4" s="18"/>
      <c r="L4" s="18"/>
      <c r="M4" s="18"/>
      <c r="N4" s="18"/>
      <c r="O4" s="18"/>
      <c r="P4" s="18"/>
      <c r="Q4" s="18"/>
      <c r="R4" s="18"/>
      <c r="S4" s="18"/>
    </row>
    <row r="6" spans="2:19">
      <c r="C6" s="7" t="s">
        <v>183</v>
      </c>
      <c r="D6" s="159" t="s">
        <v>184</v>
      </c>
      <c r="E6" s="162"/>
      <c r="F6" s="162"/>
      <c r="G6" s="162"/>
      <c r="H6" s="162"/>
    </row>
    <row r="7" spans="2:19">
      <c r="C7" s="7" t="s">
        <v>43</v>
      </c>
      <c r="D7" s="80">
        <v>-0.05</v>
      </c>
      <c r="E7" s="22" t="s">
        <v>185</v>
      </c>
    </row>
    <row r="8" spans="2:19">
      <c r="C8" s="7" t="s">
        <v>42</v>
      </c>
      <c r="D8" s="80">
        <v>0.03</v>
      </c>
      <c r="E8" s="22" t="s">
        <v>185</v>
      </c>
    </row>
    <row r="9" spans="2:19">
      <c r="C9" s="7" t="s">
        <v>186</v>
      </c>
      <c r="D9" s="81" t="str">
        <f>IF(ABS(SUM(J13:J37)-1)&lt;0.00001,"ON","OFF")</f>
        <v>OFF</v>
      </c>
      <c r="E9" s="22" t="str">
        <f>IF(D9="ON","Target mix applied: total scenario units re-split in the Target mix % proportions",IF(SUM(J13:J37)=0,"Not used: the mix follows from your volume levers","Not applied: Target mix % entries total "&amp;TEXT(SUM(J13:J37),"0.0%")&amp;" and must total 100%"))</f>
        <v>Not used: the mix follows from your volume levers</v>
      </c>
    </row>
    <row r="11" spans="2:19" ht="18" customHeight="1">
      <c r="D11" s="161" t="s">
        <v>17</v>
      </c>
      <c r="E11" s="153"/>
      <c r="F11" s="161" t="s">
        <v>187</v>
      </c>
      <c r="G11" s="153"/>
      <c r="H11" s="161" t="s">
        <v>188</v>
      </c>
      <c r="I11" s="153"/>
      <c r="J11" s="163" t="s">
        <v>189</v>
      </c>
      <c r="K11" s="161" t="s">
        <v>190</v>
      </c>
      <c r="L11" s="153"/>
      <c r="M11" s="164" t="s">
        <v>191</v>
      </c>
      <c r="N11" s="165"/>
      <c r="O11" s="165"/>
      <c r="P11" s="165"/>
      <c r="Q11" s="165"/>
      <c r="R11" s="165"/>
      <c r="S11" s="166"/>
    </row>
    <row r="12" spans="2:19" ht="44.1" customHeight="1">
      <c r="B12" s="10" t="s">
        <v>161</v>
      </c>
      <c r="C12" s="31" t="s">
        <v>162</v>
      </c>
      <c r="D12" s="82" t="s">
        <v>164</v>
      </c>
      <c r="E12" s="83" t="s">
        <v>165</v>
      </c>
      <c r="F12" s="82" t="s">
        <v>192</v>
      </c>
      <c r="G12" s="83" t="s">
        <v>193</v>
      </c>
      <c r="H12" s="82" t="s">
        <v>194</v>
      </c>
      <c r="I12" s="83" t="s">
        <v>195</v>
      </c>
      <c r="J12" s="84" t="s">
        <v>196</v>
      </c>
      <c r="K12" s="82" t="s">
        <v>197</v>
      </c>
      <c r="L12" s="83" t="s">
        <v>198</v>
      </c>
      <c r="M12" s="85" t="s">
        <v>199</v>
      </c>
      <c r="N12" s="86" t="s">
        <v>131</v>
      </c>
      <c r="O12" s="86" t="s">
        <v>200</v>
      </c>
      <c r="P12" s="86" t="s">
        <v>201</v>
      </c>
      <c r="Q12" s="86" t="s">
        <v>202</v>
      </c>
      <c r="R12" s="86" t="s">
        <v>203</v>
      </c>
      <c r="S12" s="87" t="s">
        <v>204</v>
      </c>
    </row>
    <row r="13" spans="2:19">
      <c r="B13" s="45">
        <v>1</v>
      </c>
      <c r="C13" s="88" t="str">
        <f>IF(Inputs!C12="","",Inputs!C12)</f>
        <v>Standard Unit</v>
      </c>
      <c r="D13" s="89">
        <f>N(Inputs!E12)</f>
        <v>30000</v>
      </c>
      <c r="E13" s="90">
        <f>N(Inputs!F12)</f>
        <v>200</v>
      </c>
      <c r="F13" s="91">
        <v>-0.15</v>
      </c>
      <c r="G13" s="92"/>
      <c r="H13" s="91"/>
      <c r="I13" s="93"/>
      <c r="J13" s="94"/>
      <c r="K13" s="95"/>
      <c r="L13" s="92"/>
      <c r="M13" s="96">
        <f t="shared" ref="M13:M37" si="0">IF(G13="",D13*(1+N(F13)),G13)*(1+$D$7)</f>
        <v>24225</v>
      </c>
      <c r="N13" s="43">
        <f t="shared" ref="N13:N37" si="1">IF($D$9="ON",$M$38*N(J13),M13)</f>
        <v>24225</v>
      </c>
      <c r="O13" s="47">
        <f t="shared" ref="O13:O37" si="2">IF(I13="",E13*(1+N(H13)),I13)*(1+$D$8)</f>
        <v>206</v>
      </c>
      <c r="P13" s="43">
        <f t="shared" ref="P13:P37" si="3">N13*O13</f>
        <v>4990350</v>
      </c>
      <c r="Q13" s="43">
        <f t="shared" ref="Q13:Q37" si="4">N(K13)*O13+N(L13)</f>
        <v>0</v>
      </c>
      <c r="R13" s="43">
        <f t="shared" ref="R13:R37" si="5">P13+Q13</f>
        <v>4990350</v>
      </c>
      <c r="S13" s="97">
        <f>R13-Inputs!G12</f>
        <v>-1009650</v>
      </c>
    </row>
    <row r="14" spans="2:19">
      <c r="B14" s="45">
        <v>2</v>
      </c>
      <c r="C14" s="88" t="str">
        <f>IF(Inputs!C13="","",Inputs!C13)</f>
        <v>Premium Unit</v>
      </c>
      <c r="D14" s="89">
        <f>N(Inputs!E13)</f>
        <v>12000</v>
      </c>
      <c r="E14" s="90">
        <f>N(Inputs!F13)</f>
        <v>340</v>
      </c>
      <c r="F14" s="91">
        <v>0.1</v>
      </c>
      <c r="G14" s="92"/>
      <c r="H14" s="91"/>
      <c r="I14" s="93"/>
      <c r="J14" s="94"/>
      <c r="K14" s="95"/>
      <c r="L14" s="92"/>
      <c r="M14" s="96">
        <f t="shared" si="0"/>
        <v>12540.000000000002</v>
      </c>
      <c r="N14" s="43">
        <f t="shared" si="1"/>
        <v>12540.000000000002</v>
      </c>
      <c r="O14" s="47">
        <f t="shared" si="2"/>
        <v>350.2</v>
      </c>
      <c r="P14" s="43">
        <f t="shared" si="3"/>
        <v>4391508.0000000009</v>
      </c>
      <c r="Q14" s="43">
        <f t="shared" si="4"/>
        <v>0</v>
      </c>
      <c r="R14" s="43">
        <f t="shared" si="5"/>
        <v>4391508.0000000009</v>
      </c>
      <c r="S14" s="97">
        <f>R14-Inputs!G13</f>
        <v>311508.00000000093</v>
      </c>
    </row>
    <row r="15" spans="2:19">
      <c r="B15" s="45">
        <v>3</v>
      </c>
      <c r="C15" s="88" t="str">
        <f>IF(Inputs!C14="","",Inputs!C14)</f>
        <v>Economy Unit</v>
      </c>
      <c r="D15" s="89">
        <f>N(Inputs!E14)</f>
        <v>50000</v>
      </c>
      <c r="E15" s="90">
        <f>N(Inputs!F14)</f>
        <v>80</v>
      </c>
      <c r="F15" s="91"/>
      <c r="G15" s="92"/>
      <c r="H15" s="91">
        <v>-0.02</v>
      </c>
      <c r="I15" s="93"/>
      <c r="J15" s="94"/>
      <c r="K15" s="95"/>
      <c r="L15" s="92"/>
      <c r="M15" s="96">
        <f t="shared" si="0"/>
        <v>47500</v>
      </c>
      <c r="N15" s="43">
        <f t="shared" si="1"/>
        <v>47500</v>
      </c>
      <c r="O15" s="47">
        <f t="shared" si="2"/>
        <v>80.75200000000001</v>
      </c>
      <c r="P15" s="43">
        <f t="shared" si="3"/>
        <v>3835720.0000000005</v>
      </c>
      <c r="Q15" s="43">
        <f t="shared" si="4"/>
        <v>0</v>
      </c>
      <c r="R15" s="43">
        <f t="shared" si="5"/>
        <v>3835720.0000000005</v>
      </c>
      <c r="S15" s="97">
        <f>R15-Inputs!G14</f>
        <v>-164279.99999999953</v>
      </c>
    </row>
    <row r="16" spans="2:19">
      <c r="B16" s="45">
        <v>4</v>
      </c>
      <c r="C16" s="88" t="str">
        <f>IF(Inputs!C15="","",Inputs!C15)</f>
        <v>Spare Parts Kit</v>
      </c>
      <c r="D16" s="89">
        <f>N(Inputs!E15)</f>
        <v>18000</v>
      </c>
      <c r="E16" s="90">
        <f>N(Inputs!F15)</f>
        <v>45</v>
      </c>
      <c r="F16" s="91"/>
      <c r="G16" s="92"/>
      <c r="H16" s="91"/>
      <c r="I16" s="93"/>
      <c r="J16" s="94"/>
      <c r="K16" s="95">
        <v>-1500</v>
      </c>
      <c r="L16" s="92"/>
      <c r="M16" s="96">
        <f t="shared" si="0"/>
        <v>17100</v>
      </c>
      <c r="N16" s="43">
        <f t="shared" si="1"/>
        <v>17100</v>
      </c>
      <c r="O16" s="47">
        <f t="shared" si="2"/>
        <v>46.35</v>
      </c>
      <c r="P16" s="43">
        <f t="shared" si="3"/>
        <v>792585</v>
      </c>
      <c r="Q16" s="43">
        <f t="shared" si="4"/>
        <v>-69525</v>
      </c>
      <c r="R16" s="43">
        <f t="shared" si="5"/>
        <v>723060</v>
      </c>
      <c r="S16" s="97">
        <f>R16-Inputs!G15</f>
        <v>-86940</v>
      </c>
    </row>
    <row r="17" spans="2:19">
      <c r="B17" s="45">
        <v>5</v>
      </c>
      <c r="C17" s="88" t="str">
        <f>IF(Inputs!C16="","",Inputs!C16)</f>
        <v>Service Contract</v>
      </c>
      <c r="D17" s="89">
        <f>N(Inputs!E16)</f>
        <v>2500</v>
      </c>
      <c r="E17" s="90">
        <f>N(Inputs!F16)</f>
        <v>600</v>
      </c>
      <c r="F17" s="91"/>
      <c r="G17" s="92"/>
      <c r="H17" s="91">
        <v>0.05</v>
      </c>
      <c r="I17" s="93"/>
      <c r="J17" s="94"/>
      <c r="K17" s="95"/>
      <c r="L17" s="92"/>
      <c r="M17" s="96">
        <f t="shared" si="0"/>
        <v>2375</v>
      </c>
      <c r="N17" s="43">
        <f t="shared" si="1"/>
        <v>2375</v>
      </c>
      <c r="O17" s="47">
        <f t="shared" si="2"/>
        <v>648.9</v>
      </c>
      <c r="P17" s="43">
        <f t="shared" si="3"/>
        <v>1541137.5</v>
      </c>
      <c r="Q17" s="43">
        <f t="shared" si="4"/>
        <v>0</v>
      </c>
      <c r="R17" s="43">
        <f t="shared" si="5"/>
        <v>1541137.5</v>
      </c>
      <c r="S17" s="97">
        <f>R17-Inputs!G16</f>
        <v>41137.5</v>
      </c>
    </row>
    <row r="18" spans="2:19">
      <c r="B18" s="45">
        <v>6</v>
      </c>
      <c r="C18" s="88" t="str">
        <f>IF(Inputs!C17="","",Inputs!C17)</f>
        <v/>
      </c>
      <c r="D18" s="89">
        <f>N(Inputs!E17)</f>
        <v>0</v>
      </c>
      <c r="E18" s="90">
        <f>N(Inputs!F17)</f>
        <v>0</v>
      </c>
      <c r="F18" s="91"/>
      <c r="G18" s="92"/>
      <c r="H18" s="91"/>
      <c r="I18" s="93"/>
      <c r="J18" s="94"/>
      <c r="K18" s="95"/>
      <c r="L18" s="92"/>
      <c r="M18" s="96">
        <f t="shared" si="0"/>
        <v>0</v>
      </c>
      <c r="N18" s="43">
        <f t="shared" si="1"/>
        <v>0</v>
      </c>
      <c r="O18" s="47">
        <f t="shared" si="2"/>
        <v>0</v>
      </c>
      <c r="P18" s="43">
        <f t="shared" si="3"/>
        <v>0</v>
      </c>
      <c r="Q18" s="43">
        <f t="shared" si="4"/>
        <v>0</v>
      </c>
      <c r="R18" s="43">
        <f t="shared" si="5"/>
        <v>0</v>
      </c>
      <c r="S18" s="97">
        <f>R18-Inputs!G17</f>
        <v>0</v>
      </c>
    </row>
    <row r="19" spans="2:19">
      <c r="B19" s="45">
        <v>7</v>
      </c>
      <c r="C19" s="88" t="str">
        <f>IF(Inputs!C18="","",Inputs!C18)</f>
        <v/>
      </c>
      <c r="D19" s="89">
        <f>N(Inputs!E18)</f>
        <v>0</v>
      </c>
      <c r="E19" s="90">
        <f>N(Inputs!F18)</f>
        <v>0</v>
      </c>
      <c r="F19" s="91"/>
      <c r="G19" s="92"/>
      <c r="H19" s="91"/>
      <c r="I19" s="93"/>
      <c r="J19" s="94"/>
      <c r="K19" s="95"/>
      <c r="L19" s="92"/>
      <c r="M19" s="96">
        <f t="shared" si="0"/>
        <v>0</v>
      </c>
      <c r="N19" s="43">
        <f t="shared" si="1"/>
        <v>0</v>
      </c>
      <c r="O19" s="47">
        <f t="shared" si="2"/>
        <v>0</v>
      </c>
      <c r="P19" s="43">
        <f t="shared" si="3"/>
        <v>0</v>
      </c>
      <c r="Q19" s="43">
        <f t="shared" si="4"/>
        <v>0</v>
      </c>
      <c r="R19" s="43">
        <f t="shared" si="5"/>
        <v>0</v>
      </c>
      <c r="S19" s="97">
        <f>R19-Inputs!G18</f>
        <v>0</v>
      </c>
    </row>
    <row r="20" spans="2:19">
      <c r="B20" s="45">
        <v>8</v>
      </c>
      <c r="C20" s="88" t="str">
        <f>IF(Inputs!C19="","",Inputs!C19)</f>
        <v/>
      </c>
      <c r="D20" s="89">
        <f>N(Inputs!E19)</f>
        <v>0</v>
      </c>
      <c r="E20" s="90">
        <f>N(Inputs!F19)</f>
        <v>0</v>
      </c>
      <c r="F20" s="91"/>
      <c r="G20" s="92"/>
      <c r="H20" s="91"/>
      <c r="I20" s="93"/>
      <c r="J20" s="94"/>
      <c r="K20" s="95"/>
      <c r="L20" s="92"/>
      <c r="M20" s="96">
        <f t="shared" si="0"/>
        <v>0</v>
      </c>
      <c r="N20" s="43">
        <f t="shared" si="1"/>
        <v>0</v>
      </c>
      <c r="O20" s="47">
        <f t="shared" si="2"/>
        <v>0</v>
      </c>
      <c r="P20" s="43">
        <f t="shared" si="3"/>
        <v>0</v>
      </c>
      <c r="Q20" s="43">
        <f t="shared" si="4"/>
        <v>0</v>
      </c>
      <c r="R20" s="43">
        <f t="shared" si="5"/>
        <v>0</v>
      </c>
      <c r="S20" s="97">
        <f>R20-Inputs!G19</f>
        <v>0</v>
      </c>
    </row>
    <row r="21" spans="2:19">
      <c r="B21" s="45">
        <v>9</v>
      </c>
      <c r="C21" s="88" t="str">
        <f>IF(Inputs!C20="","",Inputs!C20)</f>
        <v/>
      </c>
      <c r="D21" s="89">
        <f>N(Inputs!E20)</f>
        <v>0</v>
      </c>
      <c r="E21" s="90">
        <f>N(Inputs!F20)</f>
        <v>0</v>
      </c>
      <c r="F21" s="91"/>
      <c r="G21" s="92"/>
      <c r="H21" s="91"/>
      <c r="I21" s="93"/>
      <c r="J21" s="94"/>
      <c r="K21" s="95"/>
      <c r="L21" s="92"/>
      <c r="M21" s="96">
        <f t="shared" si="0"/>
        <v>0</v>
      </c>
      <c r="N21" s="43">
        <f t="shared" si="1"/>
        <v>0</v>
      </c>
      <c r="O21" s="47">
        <f t="shared" si="2"/>
        <v>0</v>
      </c>
      <c r="P21" s="43">
        <f t="shared" si="3"/>
        <v>0</v>
      </c>
      <c r="Q21" s="43">
        <f t="shared" si="4"/>
        <v>0</v>
      </c>
      <c r="R21" s="43">
        <f t="shared" si="5"/>
        <v>0</v>
      </c>
      <c r="S21" s="97">
        <f>R21-Inputs!G20</f>
        <v>0</v>
      </c>
    </row>
    <row r="22" spans="2:19">
      <c r="B22" s="45">
        <v>10</v>
      </c>
      <c r="C22" s="88" t="str">
        <f>IF(Inputs!C21="","",Inputs!C21)</f>
        <v/>
      </c>
      <c r="D22" s="89">
        <f>N(Inputs!E21)</f>
        <v>0</v>
      </c>
      <c r="E22" s="90">
        <f>N(Inputs!F21)</f>
        <v>0</v>
      </c>
      <c r="F22" s="91"/>
      <c r="G22" s="92"/>
      <c r="H22" s="91"/>
      <c r="I22" s="93"/>
      <c r="J22" s="94"/>
      <c r="K22" s="95"/>
      <c r="L22" s="92"/>
      <c r="M22" s="96">
        <f t="shared" si="0"/>
        <v>0</v>
      </c>
      <c r="N22" s="43">
        <f t="shared" si="1"/>
        <v>0</v>
      </c>
      <c r="O22" s="47">
        <f t="shared" si="2"/>
        <v>0</v>
      </c>
      <c r="P22" s="43">
        <f t="shared" si="3"/>
        <v>0</v>
      </c>
      <c r="Q22" s="43">
        <f t="shared" si="4"/>
        <v>0</v>
      </c>
      <c r="R22" s="43">
        <f t="shared" si="5"/>
        <v>0</v>
      </c>
      <c r="S22" s="97">
        <f>R22-Inputs!G21</f>
        <v>0</v>
      </c>
    </row>
    <row r="23" spans="2:19">
      <c r="B23" s="45">
        <v>11</v>
      </c>
      <c r="C23" s="88" t="str">
        <f>IF(Inputs!C22="","",Inputs!C22)</f>
        <v/>
      </c>
      <c r="D23" s="89">
        <f>N(Inputs!E22)</f>
        <v>0</v>
      </c>
      <c r="E23" s="90">
        <f>N(Inputs!F22)</f>
        <v>0</v>
      </c>
      <c r="F23" s="91"/>
      <c r="G23" s="92"/>
      <c r="H23" s="91"/>
      <c r="I23" s="93"/>
      <c r="J23" s="94"/>
      <c r="K23" s="95"/>
      <c r="L23" s="92"/>
      <c r="M23" s="96">
        <f t="shared" si="0"/>
        <v>0</v>
      </c>
      <c r="N23" s="43">
        <f t="shared" si="1"/>
        <v>0</v>
      </c>
      <c r="O23" s="47">
        <f t="shared" si="2"/>
        <v>0</v>
      </c>
      <c r="P23" s="43">
        <f t="shared" si="3"/>
        <v>0</v>
      </c>
      <c r="Q23" s="43">
        <f t="shared" si="4"/>
        <v>0</v>
      </c>
      <c r="R23" s="43">
        <f t="shared" si="5"/>
        <v>0</v>
      </c>
      <c r="S23" s="97">
        <f>R23-Inputs!G22</f>
        <v>0</v>
      </c>
    </row>
    <row r="24" spans="2:19">
      <c r="B24" s="45">
        <v>12</v>
      </c>
      <c r="C24" s="88" t="str">
        <f>IF(Inputs!C23="","",Inputs!C23)</f>
        <v/>
      </c>
      <c r="D24" s="89">
        <f>N(Inputs!E23)</f>
        <v>0</v>
      </c>
      <c r="E24" s="90">
        <f>N(Inputs!F23)</f>
        <v>0</v>
      </c>
      <c r="F24" s="91"/>
      <c r="G24" s="92"/>
      <c r="H24" s="91"/>
      <c r="I24" s="93"/>
      <c r="J24" s="94"/>
      <c r="K24" s="95"/>
      <c r="L24" s="92"/>
      <c r="M24" s="96">
        <f t="shared" si="0"/>
        <v>0</v>
      </c>
      <c r="N24" s="43">
        <f t="shared" si="1"/>
        <v>0</v>
      </c>
      <c r="O24" s="47">
        <f t="shared" si="2"/>
        <v>0</v>
      </c>
      <c r="P24" s="43">
        <f t="shared" si="3"/>
        <v>0</v>
      </c>
      <c r="Q24" s="43">
        <f t="shared" si="4"/>
        <v>0</v>
      </c>
      <c r="R24" s="43">
        <f t="shared" si="5"/>
        <v>0</v>
      </c>
      <c r="S24" s="97">
        <f>R24-Inputs!G23</f>
        <v>0</v>
      </c>
    </row>
    <row r="25" spans="2:19">
      <c r="B25" s="45">
        <v>13</v>
      </c>
      <c r="C25" s="88" t="str">
        <f>IF(Inputs!C24="","",Inputs!C24)</f>
        <v/>
      </c>
      <c r="D25" s="89">
        <f>N(Inputs!E24)</f>
        <v>0</v>
      </c>
      <c r="E25" s="90">
        <f>N(Inputs!F24)</f>
        <v>0</v>
      </c>
      <c r="F25" s="91"/>
      <c r="G25" s="92"/>
      <c r="H25" s="91"/>
      <c r="I25" s="93"/>
      <c r="J25" s="94"/>
      <c r="K25" s="95"/>
      <c r="L25" s="92"/>
      <c r="M25" s="96">
        <f t="shared" si="0"/>
        <v>0</v>
      </c>
      <c r="N25" s="43">
        <f t="shared" si="1"/>
        <v>0</v>
      </c>
      <c r="O25" s="47">
        <f t="shared" si="2"/>
        <v>0</v>
      </c>
      <c r="P25" s="43">
        <f t="shared" si="3"/>
        <v>0</v>
      </c>
      <c r="Q25" s="43">
        <f t="shared" si="4"/>
        <v>0</v>
      </c>
      <c r="R25" s="43">
        <f t="shared" si="5"/>
        <v>0</v>
      </c>
      <c r="S25" s="97">
        <f>R25-Inputs!G24</f>
        <v>0</v>
      </c>
    </row>
    <row r="26" spans="2:19">
      <c r="B26" s="45">
        <v>14</v>
      </c>
      <c r="C26" s="88" t="str">
        <f>IF(Inputs!C25="","",Inputs!C25)</f>
        <v/>
      </c>
      <c r="D26" s="89">
        <f>N(Inputs!E25)</f>
        <v>0</v>
      </c>
      <c r="E26" s="90">
        <f>N(Inputs!F25)</f>
        <v>0</v>
      </c>
      <c r="F26" s="91"/>
      <c r="G26" s="92"/>
      <c r="H26" s="91"/>
      <c r="I26" s="93"/>
      <c r="J26" s="94"/>
      <c r="K26" s="95"/>
      <c r="L26" s="92"/>
      <c r="M26" s="96">
        <f t="shared" si="0"/>
        <v>0</v>
      </c>
      <c r="N26" s="43">
        <f t="shared" si="1"/>
        <v>0</v>
      </c>
      <c r="O26" s="47">
        <f t="shared" si="2"/>
        <v>0</v>
      </c>
      <c r="P26" s="43">
        <f t="shared" si="3"/>
        <v>0</v>
      </c>
      <c r="Q26" s="43">
        <f t="shared" si="4"/>
        <v>0</v>
      </c>
      <c r="R26" s="43">
        <f t="shared" si="5"/>
        <v>0</v>
      </c>
      <c r="S26" s="97">
        <f>R26-Inputs!G25</f>
        <v>0</v>
      </c>
    </row>
    <row r="27" spans="2:19">
      <c r="B27" s="45">
        <v>15</v>
      </c>
      <c r="C27" s="88" t="str">
        <f>IF(Inputs!C26="","",Inputs!C26)</f>
        <v/>
      </c>
      <c r="D27" s="89">
        <f>N(Inputs!E26)</f>
        <v>0</v>
      </c>
      <c r="E27" s="90">
        <f>N(Inputs!F26)</f>
        <v>0</v>
      </c>
      <c r="F27" s="91"/>
      <c r="G27" s="92"/>
      <c r="H27" s="91"/>
      <c r="I27" s="93"/>
      <c r="J27" s="94"/>
      <c r="K27" s="95"/>
      <c r="L27" s="92"/>
      <c r="M27" s="96">
        <f t="shared" si="0"/>
        <v>0</v>
      </c>
      <c r="N27" s="43">
        <f t="shared" si="1"/>
        <v>0</v>
      </c>
      <c r="O27" s="47">
        <f t="shared" si="2"/>
        <v>0</v>
      </c>
      <c r="P27" s="43">
        <f t="shared" si="3"/>
        <v>0</v>
      </c>
      <c r="Q27" s="43">
        <f t="shared" si="4"/>
        <v>0</v>
      </c>
      <c r="R27" s="43">
        <f t="shared" si="5"/>
        <v>0</v>
      </c>
      <c r="S27" s="97">
        <f>R27-Inputs!G26</f>
        <v>0</v>
      </c>
    </row>
    <row r="28" spans="2:19">
      <c r="B28" s="45">
        <v>16</v>
      </c>
      <c r="C28" s="88" t="str">
        <f>IF(Inputs!C27="","",Inputs!C27)</f>
        <v/>
      </c>
      <c r="D28" s="89">
        <f>N(Inputs!E27)</f>
        <v>0</v>
      </c>
      <c r="E28" s="90">
        <f>N(Inputs!F27)</f>
        <v>0</v>
      </c>
      <c r="F28" s="91"/>
      <c r="G28" s="92"/>
      <c r="H28" s="91"/>
      <c r="I28" s="93"/>
      <c r="J28" s="94"/>
      <c r="K28" s="95"/>
      <c r="L28" s="92"/>
      <c r="M28" s="96">
        <f t="shared" si="0"/>
        <v>0</v>
      </c>
      <c r="N28" s="43">
        <f t="shared" si="1"/>
        <v>0</v>
      </c>
      <c r="O28" s="47">
        <f t="shared" si="2"/>
        <v>0</v>
      </c>
      <c r="P28" s="43">
        <f t="shared" si="3"/>
        <v>0</v>
      </c>
      <c r="Q28" s="43">
        <f t="shared" si="4"/>
        <v>0</v>
      </c>
      <c r="R28" s="43">
        <f t="shared" si="5"/>
        <v>0</v>
      </c>
      <c r="S28" s="97">
        <f>R28-Inputs!G27</f>
        <v>0</v>
      </c>
    </row>
    <row r="29" spans="2:19">
      <c r="B29" s="45">
        <v>17</v>
      </c>
      <c r="C29" s="88" t="str">
        <f>IF(Inputs!C28="","",Inputs!C28)</f>
        <v/>
      </c>
      <c r="D29" s="89">
        <f>N(Inputs!E28)</f>
        <v>0</v>
      </c>
      <c r="E29" s="90">
        <f>N(Inputs!F28)</f>
        <v>0</v>
      </c>
      <c r="F29" s="91"/>
      <c r="G29" s="92"/>
      <c r="H29" s="91"/>
      <c r="I29" s="93"/>
      <c r="J29" s="94"/>
      <c r="K29" s="95"/>
      <c r="L29" s="92"/>
      <c r="M29" s="96">
        <f t="shared" si="0"/>
        <v>0</v>
      </c>
      <c r="N29" s="43">
        <f t="shared" si="1"/>
        <v>0</v>
      </c>
      <c r="O29" s="47">
        <f t="shared" si="2"/>
        <v>0</v>
      </c>
      <c r="P29" s="43">
        <f t="shared" si="3"/>
        <v>0</v>
      </c>
      <c r="Q29" s="43">
        <f t="shared" si="4"/>
        <v>0</v>
      </c>
      <c r="R29" s="43">
        <f t="shared" si="5"/>
        <v>0</v>
      </c>
      <c r="S29" s="97">
        <f>R29-Inputs!G28</f>
        <v>0</v>
      </c>
    </row>
    <row r="30" spans="2:19">
      <c r="B30" s="45">
        <v>18</v>
      </c>
      <c r="C30" s="88" t="str">
        <f>IF(Inputs!C29="","",Inputs!C29)</f>
        <v/>
      </c>
      <c r="D30" s="89">
        <f>N(Inputs!E29)</f>
        <v>0</v>
      </c>
      <c r="E30" s="90">
        <f>N(Inputs!F29)</f>
        <v>0</v>
      </c>
      <c r="F30" s="91"/>
      <c r="G30" s="92"/>
      <c r="H30" s="91"/>
      <c r="I30" s="93"/>
      <c r="J30" s="94"/>
      <c r="K30" s="95"/>
      <c r="L30" s="92"/>
      <c r="M30" s="96">
        <f t="shared" si="0"/>
        <v>0</v>
      </c>
      <c r="N30" s="43">
        <f t="shared" si="1"/>
        <v>0</v>
      </c>
      <c r="O30" s="47">
        <f t="shared" si="2"/>
        <v>0</v>
      </c>
      <c r="P30" s="43">
        <f t="shared" si="3"/>
        <v>0</v>
      </c>
      <c r="Q30" s="43">
        <f t="shared" si="4"/>
        <v>0</v>
      </c>
      <c r="R30" s="43">
        <f t="shared" si="5"/>
        <v>0</v>
      </c>
      <c r="S30" s="97">
        <f>R30-Inputs!G29</f>
        <v>0</v>
      </c>
    </row>
    <row r="31" spans="2:19">
      <c r="B31" s="45">
        <v>19</v>
      </c>
      <c r="C31" s="88" t="str">
        <f>IF(Inputs!C30="","",Inputs!C30)</f>
        <v/>
      </c>
      <c r="D31" s="89">
        <f>N(Inputs!E30)</f>
        <v>0</v>
      </c>
      <c r="E31" s="90">
        <f>N(Inputs!F30)</f>
        <v>0</v>
      </c>
      <c r="F31" s="91"/>
      <c r="G31" s="92"/>
      <c r="H31" s="91"/>
      <c r="I31" s="93"/>
      <c r="J31" s="94"/>
      <c r="K31" s="95"/>
      <c r="L31" s="92"/>
      <c r="M31" s="96">
        <f t="shared" si="0"/>
        <v>0</v>
      </c>
      <c r="N31" s="43">
        <f t="shared" si="1"/>
        <v>0</v>
      </c>
      <c r="O31" s="47">
        <f t="shared" si="2"/>
        <v>0</v>
      </c>
      <c r="P31" s="43">
        <f t="shared" si="3"/>
        <v>0</v>
      </c>
      <c r="Q31" s="43">
        <f t="shared" si="4"/>
        <v>0</v>
      </c>
      <c r="R31" s="43">
        <f t="shared" si="5"/>
        <v>0</v>
      </c>
      <c r="S31" s="97">
        <f>R31-Inputs!G30</f>
        <v>0</v>
      </c>
    </row>
    <row r="32" spans="2:19">
      <c r="B32" s="45">
        <v>20</v>
      </c>
      <c r="C32" s="88" t="str">
        <f>IF(Inputs!C31="","",Inputs!C31)</f>
        <v/>
      </c>
      <c r="D32" s="89">
        <f>N(Inputs!E31)</f>
        <v>0</v>
      </c>
      <c r="E32" s="90">
        <f>N(Inputs!F31)</f>
        <v>0</v>
      </c>
      <c r="F32" s="91"/>
      <c r="G32" s="92"/>
      <c r="H32" s="91"/>
      <c r="I32" s="93"/>
      <c r="J32" s="94"/>
      <c r="K32" s="95"/>
      <c r="L32" s="92"/>
      <c r="M32" s="96">
        <f t="shared" si="0"/>
        <v>0</v>
      </c>
      <c r="N32" s="43">
        <f t="shared" si="1"/>
        <v>0</v>
      </c>
      <c r="O32" s="47">
        <f t="shared" si="2"/>
        <v>0</v>
      </c>
      <c r="P32" s="43">
        <f t="shared" si="3"/>
        <v>0</v>
      </c>
      <c r="Q32" s="43">
        <f t="shared" si="4"/>
        <v>0</v>
      </c>
      <c r="R32" s="43">
        <f t="shared" si="5"/>
        <v>0</v>
      </c>
      <c r="S32" s="97">
        <f>R32-Inputs!G31</f>
        <v>0</v>
      </c>
    </row>
    <row r="33" spans="2:19">
      <c r="B33" s="45">
        <v>21</v>
      </c>
      <c r="C33" s="88" t="str">
        <f>IF(Inputs!C32="","",Inputs!C32)</f>
        <v/>
      </c>
      <c r="D33" s="89">
        <f>N(Inputs!E32)</f>
        <v>0</v>
      </c>
      <c r="E33" s="90">
        <f>N(Inputs!F32)</f>
        <v>0</v>
      </c>
      <c r="F33" s="91"/>
      <c r="G33" s="92"/>
      <c r="H33" s="91"/>
      <c r="I33" s="93"/>
      <c r="J33" s="94"/>
      <c r="K33" s="95"/>
      <c r="L33" s="92"/>
      <c r="M33" s="96">
        <f t="shared" si="0"/>
        <v>0</v>
      </c>
      <c r="N33" s="43">
        <f t="shared" si="1"/>
        <v>0</v>
      </c>
      <c r="O33" s="47">
        <f t="shared" si="2"/>
        <v>0</v>
      </c>
      <c r="P33" s="43">
        <f t="shared" si="3"/>
        <v>0</v>
      </c>
      <c r="Q33" s="43">
        <f t="shared" si="4"/>
        <v>0</v>
      </c>
      <c r="R33" s="43">
        <f t="shared" si="5"/>
        <v>0</v>
      </c>
      <c r="S33" s="97">
        <f>R33-Inputs!G32</f>
        <v>0</v>
      </c>
    </row>
    <row r="34" spans="2:19">
      <c r="B34" s="45">
        <v>22</v>
      </c>
      <c r="C34" s="88" t="str">
        <f>IF(Inputs!C33="","",Inputs!C33)</f>
        <v/>
      </c>
      <c r="D34" s="89">
        <f>N(Inputs!E33)</f>
        <v>0</v>
      </c>
      <c r="E34" s="90">
        <f>N(Inputs!F33)</f>
        <v>0</v>
      </c>
      <c r="F34" s="91"/>
      <c r="G34" s="92"/>
      <c r="H34" s="91"/>
      <c r="I34" s="93"/>
      <c r="J34" s="94"/>
      <c r="K34" s="95"/>
      <c r="L34" s="92"/>
      <c r="M34" s="96">
        <f t="shared" si="0"/>
        <v>0</v>
      </c>
      <c r="N34" s="43">
        <f t="shared" si="1"/>
        <v>0</v>
      </c>
      <c r="O34" s="47">
        <f t="shared" si="2"/>
        <v>0</v>
      </c>
      <c r="P34" s="43">
        <f t="shared" si="3"/>
        <v>0</v>
      </c>
      <c r="Q34" s="43">
        <f t="shared" si="4"/>
        <v>0</v>
      </c>
      <c r="R34" s="43">
        <f t="shared" si="5"/>
        <v>0</v>
      </c>
      <c r="S34" s="97">
        <f>R34-Inputs!G33</f>
        <v>0</v>
      </c>
    </row>
    <row r="35" spans="2:19">
      <c r="B35" s="45">
        <v>23</v>
      </c>
      <c r="C35" s="88" t="str">
        <f>IF(Inputs!C34="","",Inputs!C34)</f>
        <v/>
      </c>
      <c r="D35" s="89">
        <f>N(Inputs!E34)</f>
        <v>0</v>
      </c>
      <c r="E35" s="90">
        <f>N(Inputs!F34)</f>
        <v>0</v>
      </c>
      <c r="F35" s="91"/>
      <c r="G35" s="92"/>
      <c r="H35" s="91"/>
      <c r="I35" s="93"/>
      <c r="J35" s="94"/>
      <c r="K35" s="95"/>
      <c r="L35" s="92"/>
      <c r="M35" s="96">
        <f t="shared" si="0"/>
        <v>0</v>
      </c>
      <c r="N35" s="43">
        <f t="shared" si="1"/>
        <v>0</v>
      </c>
      <c r="O35" s="47">
        <f t="shared" si="2"/>
        <v>0</v>
      </c>
      <c r="P35" s="43">
        <f t="shared" si="3"/>
        <v>0</v>
      </c>
      <c r="Q35" s="43">
        <f t="shared" si="4"/>
        <v>0</v>
      </c>
      <c r="R35" s="43">
        <f t="shared" si="5"/>
        <v>0</v>
      </c>
      <c r="S35" s="97">
        <f>R35-Inputs!G34</f>
        <v>0</v>
      </c>
    </row>
    <row r="36" spans="2:19">
      <c r="B36" s="45">
        <v>24</v>
      </c>
      <c r="C36" s="88" t="str">
        <f>IF(Inputs!C35="","",Inputs!C35)</f>
        <v/>
      </c>
      <c r="D36" s="89">
        <f>N(Inputs!E35)</f>
        <v>0</v>
      </c>
      <c r="E36" s="90">
        <f>N(Inputs!F35)</f>
        <v>0</v>
      </c>
      <c r="F36" s="91"/>
      <c r="G36" s="92"/>
      <c r="H36" s="91"/>
      <c r="I36" s="93"/>
      <c r="J36" s="94"/>
      <c r="K36" s="95"/>
      <c r="L36" s="92"/>
      <c r="M36" s="96">
        <f t="shared" si="0"/>
        <v>0</v>
      </c>
      <c r="N36" s="43">
        <f t="shared" si="1"/>
        <v>0</v>
      </c>
      <c r="O36" s="47">
        <f t="shared" si="2"/>
        <v>0</v>
      </c>
      <c r="P36" s="43">
        <f t="shared" si="3"/>
        <v>0</v>
      </c>
      <c r="Q36" s="43">
        <f t="shared" si="4"/>
        <v>0</v>
      </c>
      <c r="R36" s="43">
        <f t="shared" si="5"/>
        <v>0</v>
      </c>
      <c r="S36" s="97">
        <f>R36-Inputs!G35</f>
        <v>0</v>
      </c>
    </row>
    <row r="37" spans="2:19">
      <c r="B37" s="45">
        <v>25</v>
      </c>
      <c r="C37" s="88" t="str">
        <f>IF(Inputs!C36="","",Inputs!C36)</f>
        <v/>
      </c>
      <c r="D37" s="89">
        <f>N(Inputs!E36)</f>
        <v>0</v>
      </c>
      <c r="E37" s="90">
        <f>N(Inputs!F36)</f>
        <v>0</v>
      </c>
      <c r="F37" s="91"/>
      <c r="G37" s="92"/>
      <c r="H37" s="91"/>
      <c r="I37" s="93"/>
      <c r="J37" s="94"/>
      <c r="K37" s="95"/>
      <c r="L37" s="92"/>
      <c r="M37" s="96">
        <f t="shared" si="0"/>
        <v>0</v>
      </c>
      <c r="N37" s="43">
        <f t="shared" si="1"/>
        <v>0</v>
      </c>
      <c r="O37" s="47">
        <f t="shared" si="2"/>
        <v>0</v>
      </c>
      <c r="P37" s="43">
        <f t="shared" si="3"/>
        <v>0</v>
      </c>
      <c r="Q37" s="43">
        <f t="shared" si="4"/>
        <v>0</v>
      </c>
      <c r="R37" s="43">
        <f t="shared" si="5"/>
        <v>0</v>
      </c>
      <c r="S37" s="97">
        <f>R37-Inputs!G36</f>
        <v>0</v>
      </c>
    </row>
    <row r="38" spans="2:19">
      <c r="B38" s="73"/>
      <c r="C38" s="78" t="s">
        <v>179</v>
      </c>
      <c r="D38" s="98">
        <f>SUM(D13:D37)</f>
        <v>112500</v>
      </c>
      <c r="E38" s="99">
        <f>IF(D38=0,0,Inputs!G37/D38)</f>
        <v>145.6888888888889</v>
      </c>
      <c r="F38" s="73"/>
      <c r="G38" s="100">
        <f>SUM(G13:G37)</f>
        <v>0</v>
      </c>
      <c r="H38" s="73"/>
      <c r="I38" s="78"/>
      <c r="J38" s="101">
        <f>SUM(J13:J37)</f>
        <v>0</v>
      </c>
      <c r="K38" s="98">
        <f>SUM(K13:K37)</f>
        <v>-1500</v>
      </c>
      <c r="L38" s="100">
        <f>SUM(L13:L37)</f>
        <v>0</v>
      </c>
      <c r="M38" s="102">
        <f>SUM(M13:M37)</f>
        <v>103740</v>
      </c>
      <c r="N38" s="75">
        <f>SUM(N13:N37)</f>
        <v>103740</v>
      </c>
      <c r="O38" s="76">
        <f>IF(N38=0,0,P38/N38)</f>
        <v>149.90650183150183</v>
      </c>
      <c r="P38" s="75">
        <f>SUM(P13:P37)</f>
        <v>15551300.5</v>
      </c>
      <c r="Q38" s="75">
        <f>SUM(Q13:Q37)</f>
        <v>-69525</v>
      </c>
      <c r="R38" s="75">
        <f>SUM(R13:R37)</f>
        <v>15481775.5</v>
      </c>
      <c r="S38" s="103">
        <f>SUM(S13:S37)</f>
        <v>-908224.4999999986</v>
      </c>
    </row>
  </sheetData>
  <sheetProtection sheet="1" formatCells="0" formatColumns="0" formatRows="0"/>
  <mergeCells count="7">
    <mergeCell ref="M11:S11"/>
    <mergeCell ref="H11:I11"/>
    <mergeCell ref="F11:G11"/>
    <mergeCell ref="K11:L11"/>
    <mergeCell ref="D6:H6"/>
    <mergeCell ref="D11:E11"/>
    <mergeCell ref="J11"/>
  </mergeCells>
  <conditionalFormatting sqref="Q13:Q38">
    <cfRule type="cellIs" dxfId="7" priority="3" operator="greaterThan">
      <formula>0.004</formula>
    </cfRule>
    <cfRule type="cellIs" dxfId="6" priority="4" operator="lessThan">
      <formula>-0.004</formula>
    </cfRule>
  </conditionalFormatting>
  <conditionalFormatting sqref="S13:S38">
    <cfRule type="cellIs" dxfId="5" priority="1" operator="greaterThan">
      <formula>0.004</formula>
    </cfRule>
    <cfRule type="cellIs" dxfId="4" priority="2" operator="lessThan">
      <formula>-0.004</formula>
    </cfRule>
  </conditionalFormatting>
  <dataValidations count="3">
    <dataValidation type="decimal" allowBlank="1" showErrorMessage="1" errorTitle="Invalid percentage" error="Enter a percentage between -100% and 1000%, for example 5% or -10%." sqref="D7:D8 F13:F37 H13:H37" xr:uid="{00000000-0002-0000-0400-000000000000}">
      <formula1>-1</formula1>
      <formula2>10</formula2>
    </dataValidation>
    <dataValidation type="decimal" allowBlank="1" showErrorMessage="1" errorTitle="Invalid mix" error="Enter a share between 0% and 100%." sqref="J13:J37" xr:uid="{00000000-0002-0000-0400-000001000000}">
      <formula1>0</formula1>
      <formula2>1</formula2>
    </dataValidation>
    <dataValidation type="decimal" operator="greaterThanOrEqual" allowBlank="1" showErrorMessage="1" errorTitle="Invalid value" error="Enter a number of zero or more." sqref="G13:G37 I13:I37" xr:uid="{00000000-0002-0000-0400-000002000000}">
      <formula1>0</formula1>
    </dataValidation>
  </dataValidations>
  <pageMargins left="0.75" right="0.75" top="1" bottom="1" header="0.5" footer="0.5"/>
  <pageSetup fitToHeight="0" orientation="landscape"/>
  <headerFooter>
    <oddFooter>&amp;LSeizmic FP&amp;&amp;A | Variance Bridge Analysis Workbook | Seizmic proprietary&amp;RPage &amp;P of &amp;N</oddFooter>
  </headerFooter>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5272D"/>
    <pageSetUpPr fitToPage="1"/>
  </sheetPr>
  <dimension ref="B1:T50"/>
  <sheetViews>
    <sheetView showGridLines="0" workbookViewId="0">
      <pane xSplit="3" ySplit="7" topLeftCell="D8" activePane="bottomRight" state="frozen"/>
      <selection pane="topRight"/>
      <selection pane="bottomLeft"/>
      <selection pane="bottomRight"/>
    </sheetView>
  </sheetViews>
  <sheetFormatPr defaultRowHeight="15"/>
  <cols>
    <col min="1" max="1" width="3" customWidth="1"/>
    <col min="2" max="2" width="5" customWidth="1"/>
    <col min="3" max="3" width="28" customWidth="1"/>
    <col min="4" max="5" width="13" customWidth="1"/>
    <col min="6" max="6" width="15" customWidth="1"/>
    <col min="7" max="7" width="11" customWidth="1"/>
    <col min="8" max="9" width="13" customWidth="1"/>
    <col min="10" max="10" width="15" customWidth="1"/>
    <col min="11" max="11" width="11" customWidth="1"/>
    <col min="12" max="12" width="14" customWidth="1"/>
    <col min="13" max="17" width="15" customWidth="1"/>
    <col min="18" max="18" width="10" customWidth="1"/>
    <col min="19" max="21" width="12" customWidth="1"/>
  </cols>
  <sheetData>
    <row r="1" spans="2:18" ht="8.1" customHeight="1"/>
    <row r="2" spans="2:18" ht="24.6" customHeight="1"/>
    <row r="3" spans="2:18" ht="21.95" customHeight="1">
      <c r="B3" s="16" t="s">
        <v>205</v>
      </c>
    </row>
    <row r="4" spans="2:18">
      <c r="B4" s="17" t="s">
        <v>206</v>
      </c>
      <c r="C4" s="18"/>
      <c r="D4" s="18"/>
      <c r="E4" s="18"/>
      <c r="F4" s="18"/>
      <c r="G4" s="18"/>
      <c r="H4" s="18"/>
      <c r="I4" s="18"/>
      <c r="J4" s="18"/>
      <c r="K4" s="18"/>
      <c r="L4" s="18"/>
      <c r="M4" s="18"/>
      <c r="N4" s="18"/>
      <c r="O4" s="18"/>
      <c r="P4" s="18"/>
      <c r="Q4" s="18"/>
      <c r="R4" s="18"/>
    </row>
    <row r="6" spans="2:18" ht="18" customHeight="1">
      <c r="D6" s="161" t="s">
        <v>17</v>
      </c>
      <c r="E6" s="152"/>
      <c r="F6" s="152"/>
      <c r="G6" s="153"/>
      <c r="H6" s="161" t="s">
        <v>18</v>
      </c>
      <c r="I6" s="152"/>
      <c r="J6" s="152"/>
      <c r="K6" s="153"/>
      <c r="L6" s="164" t="s">
        <v>207</v>
      </c>
      <c r="M6" s="165"/>
      <c r="N6" s="165"/>
      <c r="O6" s="165"/>
      <c r="P6" s="165"/>
      <c r="Q6" s="166"/>
      <c r="R6" s="163" t="s">
        <v>208</v>
      </c>
    </row>
    <row r="7" spans="2:18" ht="44.1" customHeight="1">
      <c r="B7" s="10" t="s">
        <v>161</v>
      </c>
      <c r="C7" s="31" t="s">
        <v>162</v>
      </c>
      <c r="D7" s="82" t="s">
        <v>164</v>
      </c>
      <c r="E7" s="104" t="s">
        <v>165</v>
      </c>
      <c r="F7" s="104" t="s">
        <v>1</v>
      </c>
      <c r="G7" s="83" t="s">
        <v>24</v>
      </c>
      <c r="H7" s="82" t="s">
        <v>131</v>
      </c>
      <c r="I7" s="104" t="s">
        <v>200</v>
      </c>
      <c r="J7" s="104" t="s">
        <v>201</v>
      </c>
      <c r="K7" s="83" t="s">
        <v>25</v>
      </c>
      <c r="L7" s="85" t="s">
        <v>209</v>
      </c>
      <c r="M7" s="86" t="s">
        <v>121</v>
      </c>
      <c r="N7" s="86" t="s">
        <v>123</v>
      </c>
      <c r="O7" s="86" t="s">
        <v>125</v>
      </c>
      <c r="P7" s="86" t="s">
        <v>32</v>
      </c>
      <c r="Q7" s="87" t="s">
        <v>23</v>
      </c>
      <c r="R7" s="84" t="s">
        <v>210</v>
      </c>
    </row>
    <row r="8" spans="2:18">
      <c r="B8" s="45">
        <v>1</v>
      </c>
      <c r="C8" s="88" t="str">
        <f>'What-If'!C13</f>
        <v>Standard Unit</v>
      </c>
      <c r="D8" s="89">
        <f>N(Inputs!E12)</f>
        <v>30000</v>
      </c>
      <c r="E8" s="105">
        <f>N(Inputs!F12)</f>
        <v>200</v>
      </c>
      <c r="F8" s="43">
        <f t="shared" ref="F8:F32" si="0">D8*E8</f>
        <v>6000000</v>
      </c>
      <c r="G8" s="44">
        <f t="shared" ref="G8:G32" si="1">IF($D$33=0,0,D8/$D$33)</f>
        <v>0.26666666666666666</v>
      </c>
      <c r="H8" s="89">
        <f>'What-If'!N13</f>
        <v>24225</v>
      </c>
      <c r="I8" s="105">
        <f>'What-If'!O13</f>
        <v>206</v>
      </c>
      <c r="J8" s="43">
        <f t="shared" ref="J8:J32" si="2">H8*I8</f>
        <v>4990350</v>
      </c>
      <c r="K8" s="44">
        <f t="shared" ref="K8:K32" si="3">IF($H$33=0,0,H8/$H$33)</f>
        <v>0.23351648351648352</v>
      </c>
      <c r="L8" s="96">
        <f t="shared" ref="L8:L32" si="4">$H$33*G8</f>
        <v>27664</v>
      </c>
      <c r="M8" s="43">
        <f t="shared" ref="M8:M32" si="5">(L8-D8)*E8</f>
        <v>-467200</v>
      </c>
      <c r="N8" s="43">
        <f t="shared" ref="N8:N32" si="6">H8*(I8-E8)</f>
        <v>145350</v>
      </c>
      <c r="O8" s="43">
        <f t="shared" ref="O8:O32" si="7">(H8-L8)*E8</f>
        <v>-687800</v>
      </c>
      <c r="P8" s="106">
        <f>'What-If'!Q13</f>
        <v>0</v>
      </c>
      <c r="Q8" s="107">
        <f t="shared" ref="Q8:Q32" si="8">M8+N8+O8+P8</f>
        <v>-1009650</v>
      </c>
      <c r="R8" s="108">
        <f>ROUND(Q8-('What-If'!R13-F8),2)</f>
        <v>0</v>
      </c>
    </row>
    <row r="9" spans="2:18">
      <c r="B9" s="45">
        <v>2</v>
      </c>
      <c r="C9" s="88" t="str">
        <f>'What-If'!C14</f>
        <v>Premium Unit</v>
      </c>
      <c r="D9" s="89">
        <f>N(Inputs!E13)</f>
        <v>12000</v>
      </c>
      <c r="E9" s="105">
        <f>N(Inputs!F13)</f>
        <v>340</v>
      </c>
      <c r="F9" s="43">
        <f t="shared" si="0"/>
        <v>4080000</v>
      </c>
      <c r="G9" s="44">
        <f t="shared" si="1"/>
        <v>0.10666666666666667</v>
      </c>
      <c r="H9" s="89">
        <f>'What-If'!N14</f>
        <v>12540.000000000002</v>
      </c>
      <c r="I9" s="105">
        <f>'What-If'!O14</f>
        <v>350.2</v>
      </c>
      <c r="J9" s="43">
        <f t="shared" si="2"/>
        <v>4391508.0000000009</v>
      </c>
      <c r="K9" s="44">
        <f t="shared" si="3"/>
        <v>0.12087912087912089</v>
      </c>
      <c r="L9" s="96">
        <f t="shared" si="4"/>
        <v>11065.6</v>
      </c>
      <c r="M9" s="43">
        <f t="shared" si="5"/>
        <v>-317695.99999999988</v>
      </c>
      <c r="N9" s="43">
        <f t="shared" si="6"/>
        <v>127907.99999999987</v>
      </c>
      <c r="O9" s="43">
        <f t="shared" si="7"/>
        <v>501296.00000000047</v>
      </c>
      <c r="P9" s="106">
        <f>'What-If'!Q14</f>
        <v>0</v>
      </c>
      <c r="Q9" s="107">
        <f t="shared" si="8"/>
        <v>311508.00000000047</v>
      </c>
      <c r="R9" s="108">
        <f>ROUND(Q9-('What-If'!R14-F9),2)</f>
        <v>0</v>
      </c>
    </row>
    <row r="10" spans="2:18">
      <c r="B10" s="45">
        <v>3</v>
      </c>
      <c r="C10" s="88" t="str">
        <f>'What-If'!C15</f>
        <v>Economy Unit</v>
      </c>
      <c r="D10" s="89">
        <f>N(Inputs!E14)</f>
        <v>50000</v>
      </c>
      <c r="E10" s="105">
        <f>N(Inputs!F14)</f>
        <v>80</v>
      </c>
      <c r="F10" s="43">
        <f t="shared" si="0"/>
        <v>4000000</v>
      </c>
      <c r="G10" s="44">
        <f t="shared" si="1"/>
        <v>0.44444444444444442</v>
      </c>
      <c r="H10" s="89">
        <f>'What-If'!N15</f>
        <v>47500</v>
      </c>
      <c r="I10" s="105">
        <f>'What-If'!O15</f>
        <v>80.75200000000001</v>
      </c>
      <c r="J10" s="43">
        <f t="shared" si="2"/>
        <v>3835720.0000000005</v>
      </c>
      <c r="K10" s="44">
        <f t="shared" si="3"/>
        <v>0.45787545787545786</v>
      </c>
      <c r="L10" s="96">
        <f t="shared" si="4"/>
        <v>46106.666666666664</v>
      </c>
      <c r="M10" s="43">
        <f t="shared" si="5"/>
        <v>-311466.66666666686</v>
      </c>
      <c r="N10" s="43">
        <f t="shared" si="6"/>
        <v>35720.000000000451</v>
      </c>
      <c r="O10" s="43">
        <f t="shared" si="7"/>
        <v>111466.66666666686</v>
      </c>
      <c r="P10" s="106">
        <f>'What-If'!Q15</f>
        <v>0</v>
      </c>
      <c r="Q10" s="107">
        <f t="shared" si="8"/>
        <v>-164279.99999999953</v>
      </c>
      <c r="R10" s="108">
        <f>ROUND(Q10-('What-If'!R15-F10),2)</f>
        <v>0</v>
      </c>
    </row>
    <row r="11" spans="2:18">
      <c r="B11" s="45">
        <v>4</v>
      </c>
      <c r="C11" s="88" t="str">
        <f>'What-If'!C16</f>
        <v>Spare Parts Kit</v>
      </c>
      <c r="D11" s="89">
        <f>N(Inputs!E15)</f>
        <v>18000</v>
      </c>
      <c r="E11" s="105">
        <f>N(Inputs!F15)</f>
        <v>45</v>
      </c>
      <c r="F11" s="43">
        <f t="shared" si="0"/>
        <v>810000</v>
      </c>
      <c r="G11" s="44">
        <f t="shared" si="1"/>
        <v>0.16</v>
      </c>
      <c r="H11" s="89">
        <f>'What-If'!N16</f>
        <v>17100</v>
      </c>
      <c r="I11" s="105">
        <f>'What-If'!O16</f>
        <v>46.35</v>
      </c>
      <c r="J11" s="43">
        <f t="shared" si="2"/>
        <v>792585</v>
      </c>
      <c r="K11" s="44">
        <f t="shared" si="3"/>
        <v>0.16483516483516483</v>
      </c>
      <c r="L11" s="96">
        <f t="shared" si="4"/>
        <v>16598.400000000001</v>
      </c>
      <c r="M11" s="43">
        <f t="shared" si="5"/>
        <v>-63071.999999999935</v>
      </c>
      <c r="N11" s="43">
        <f t="shared" si="6"/>
        <v>23085.000000000025</v>
      </c>
      <c r="O11" s="43">
        <f t="shared" si="7"/>
        <v>22571.999999999935</v>
      </c>
      <c r="P11" s="106">
        <f>'What-If'!Q16</f>
        <v>-69525</v>
      </c>
      <c r="Q11" s="107">
        <f t="shared" si="8"/>
        <v>-86939.999999999971</v>
      </c>
      <c r="R11" s="108">
        <f>ROUND(Q11-('What-If'!R16-F11),2)</f>
        <v>0</v>
      </c>
    </row>
    <row r="12" spans="2:18">
      <c r="B12" s="45">
        <v>5</v>
      </c>
      <c r="C12" s="88" t="str">
        <f>'What-If'!C17</f>
        <v>Service Contract</v>
      </c>
      <c r="D12" s="89">
        <f>N(Inputs!E16)</f>
        <v>2500</v>
      </c>
      <c r="E12" s="105">
        <f>N(Inputs!F16)</f>
        <v>600</v>
      </c>
      <c r="F12" s="43">
        <f t="shared" si="0"/>
        <v>1500000</v>
      </c>
      <c r="G12" s="44">
        <f t="shared" si="1"/>
        <v>2.2222222222222223E-2</v>
      </c>
      <c r="H12" s="89">
        <f>'What-If'!N17</f>
        <v>2375</v>
      </c>
      <c r="I12" s="105">
        <f>'What-If'!O17</f>
        <v>648.9</v>
      </c>
      <c r="J12" s="43">
        <f t="shared" si="2"/>
        <v>1541137.5</v>
      </c>
      <c r="K12" s="44">
        <f t="shared" si="3"/>
        <v>2.2893772893772892E-2</v>
      </c>
      <c r="L12" s="96">
        <f t="shared" si="4"/>
        <v>2305.3333333333335</v>
      </c>
      <c r="M12" s="43">
        <f t="shared" si="5"/>
        <v>-116799.99999999991</v>
      </c>
      <c r="N12" s="43">
        <f t="shared" si="6"/>
        <v>116137.49999999994</v>
      </c>
      <c r="O12" s="43">
        <f t="shared" si="7"/>
        <v>41799.999999999913</v>
      </c>
      <c r="P12" s="106">
        <f>'What-If'!Q17</f>
        <v>0</v>
      </c>
      <c r="Q12" s="107">
        <f t="shared" si="8"/>
        <v>41137.499999999942</v>
      </c>
      <c r="R12" s="108">
        <f>ROUND(Q12-('What-If'!R17-F12),2)</f>
        <v>0</v>
      </c>
    </row>
    <row r="13" spans="2:18">
      <c r="B13" s="45">
        <v>6</v>
      </c>
      <c r="C13" s="88" t="str">
        <f>'What-If'!C18</f>
        <v/>
      </c>
      <c r="D13" s="89">
        <f>N(Inputs!E17)</f>
        <v>0</v>
      </c>
      <c r="E13" s="105">
        <f>N(Inputs!F17)</f>
        <v>0</v>
      </c>
      <c r="F13" s="43">
        <f t="shared" si="0"/>
        <v>0</v>
      </c>
      <c r="G13" s="44">
        <f t="shared" si="1"/>
        <v>0</v>
      </c>
      <c r="H13" s="89">
        <f>'What-If'!N18</f>
        <v>0</v>
      </c>
      <c r="I13" s="105">
        <f>'What-If'!O18</f>
        <v>0</v>
      </c>
      <c r="J13" s="43">
        <f t="shared" si="2"/>
        <v>0</v>
      </c>
      <c r="K13" s="44">
        <f t="shared" si="3"/>
        <v>0</v>
      </c>
      <c r="L13" s="96">
        <f t="shared" si="4"/>
        <v>0</v>
      </c>
      <c r="M13" s="43">
        <f t="shared" si="5"/>
        <v>0</v>
      </c>
      <c r="N13" s="43">
        <f t="shared" si="6"/>
        <v>0</v>
      </c>
      <c r="O13" s="43">
        <f t="shared" si="7"/>
        <v>0</v>
      </c>
      <c r="P13" s="106">
        <f>'What-If'!Q18</f>
        <v>0</v>
      </c>
      <c r="Q13" s="107">
        <f t="shared" si="8"/>
        <v>0</v>
      </c>
      <c r="R13" s="108">
        <f>ROUND(Q13-('What-If'!R18-F13),2)</f>
        <v>0</v>
      </c>
    </row>
    <row r="14" spans="2:18">
      <c r="B14" s="45">
        <v>7</v>
      </c>
      <c r="C14" s="88" t="str">
        <f>'What-If'!C19</f>
        <v/>
      </c>
      <c r="D14" s="89">
        <f>N(Inputs!E18)</f>
        <v>0</v>
      </c>
      <c r="E14" s="105">
        <f>N(Inputs!F18)</f>
        <v>0</v>
      </c>
      <c r="F14" s="43">
        <f t="shared" si="0"/>
        <v>0</v>
      </c>
      <c r="G14" s="44">
        <f t="shared" si="1"/>
        <v>0</v>
      </c>
      <c r="H14" s="89">
        <f>'What-If'!N19</f>
        <v>0</v>
      </c>
      <c r="I14" s="105">
        <f>'What-If'!O19</f>
        <v>0</v>
      </c>
      <c r="J14" s="43">
        <f t="shared" si="2"/>
        <v>0</v>
      </c>
      <c r="K14" s="44">
        <f t="shared" si="3"/>
        <v>0</v>
      </c>
      <c r="L14" s="96">
        <f t="shared" si="4"/>
        <v>0</v>
      </c>
      <c r="M14" s="43">
        <f t="shared" si="5"/>
        <v>0</v>
      </c>
      <c r="N14" s="43">
        <f t="shared" si="6"/>
        <v>0</v>
      </c>
      <c r="O14" s="43">
        <f t="shared" si="7"/>
        <v>0</v>
      </c>
      <c r="P14" s="106">
        <f>'What-If'!Q19</f>
        <v>0</v>
      </c>
      <c r="Q14" s="107">
        <f t="shared" si="8"/>
        <v>0</v>
      </c>
      <c r="R14" s="108">
        <f>ROUND(Q14-('What-If'!R19-F14),2)</f>
        <v>0</v>
      </c>
    </row>
    <row r="15" spans="2:18">
      <c r="B15" s="45">
        <v>8</v>
      </c>
      <c r="C15" s="88" t="str">
        <f>'What-If'!C20</f>
        <v/>
      </c>
      <c r="D15" s="89">
        <f>N(Inputs!E19)</f>
        <v>0</v>
      </c>
      <c r="E15" s="105">
        <f>N(Inputs!F19)</f>
        <v>0</v>
      </c>
      <c r="F15" s="43">
        <f t="shared" si="0"/>
        <v>0</v>
      </c>
      <c r="G15" s="44">
        <f t="shared" si="1"/>
        <v>0</v>
      </c>
      <c r="H15" s="89">
        <f>'What-If'!N20</f>
        <v>0</v>
      </c>
      <c r="I15" s="105">
        <f>'What-If'!O20</f>
        <v>0</v>
      </c>
      <c r="J15" s="43">
        <f t="shared" si="2"/>
        <v>0</v>
      </c>
      <c r="K15" s="44">
        <f t="shared" si="3"/>
        <v>0</v>
      </c>
      <c r="L15" s="96">
        <f t="shared" si="4"/>
        <v>0</v>
      </c>
      <c r="M15" s="43">
        <f t="shared" si="5"/>
        <v>0</v>
      </c>
      <c r="N15" s="43">
        <f t="shared" si="6"/>
        <v>0</v>
      </c>
      <c r="O15" s="43">
        <f t="shared" si="7"/>
        <v>0</v>
      </c>
      <c r="P15" s="106">
        <f>'What-If'!Q20</f>
        <v>0</v>
      </c>
      <c r="Q15" s="107">
        <f t="shared" si="8"/>
        <v>0</v>
      </c>
      <c r="R15" s="108">
        <f>ROUND(Q15-('What-If'!R20-F15),2)</f>
        <v>0</v>
      </c>
    </row>
    <row r="16" spans="2:18">
      <c r="B16" s="45">
        <v>9</v>
      </c>
      <c r="C16" s="88" t="str">
        <f>'What-If'!C21</f>
        <v/>
      </c>
      <c r="D16" s="89">
        <f>N(Inputs!E20)</f>
        <v>0</v>
      </c>
      <c r="E16" s="105">
        <f>N(Inputs!F20)</f>
        <v>0</v>
      </c>
      <c r="F16" s="43">
        <f t="shared" si="0"/>
        <v>0</v>
      </c>
      <c r="G16" s="44">
        <f t="shared" si="1"/>
        <v>0</v>
      </c>
      <c r="H16" s="89">
        <f>'What-If'!N21</f>
        <v>0</v>
      </c>
      <c r="I16" s="105">
        <f>'What-If'!O21</f>
        <v>0</v>
      </c>
      <c r="J16" s="43">
        <f t="shared" si="2"/>
        <v>0</v>
      </c>
      <c r="K16" s="44">
        <f t="shared" si="3"/>
        <v>0</v>
      </c>
      <c r="L16" s="96">
        <f t="shared" si="4"/>
        <v>0</v>
      </c>
      <c r="M16" s="43">
        <f t="shared" si="5"/>
        <v>0</v>
      </c>
      <c r="N16" s="43">
        <f t="shared" si="6"/>
        <v>0</v>
      </c>
      <c r="O16" s="43">
        <f t="shared" si="7"/>
        <v>0</v>
      </c>
      <c r="P16" s="106">
        <f>'What-If'!Q21</f>
        <v>0</v>
      </c>
      <c r="Q16" s="107">
        <f t="shared" si="8"/>
        <v>0</v>
      </c>
      <c r="R16" s="108">
        <f>ROUND(Q16-('What-If'!R21-F16),2)</f>
        <v>0</v>
      </c>
    </row>
    <row r="17" spans="2:18">
      <c r="B17" s="45">
        <v>10</v>
      </c>
      <c r="C17" s="88" t="str">
        <f>'What-If'!C22</f>
        <v/>
      </c>
      <c r="D17" s="89">
        <f>N(Inputs!E21)</f>
        <v>0</v>
      </c>
      <c r="E17" s="105">
        <f>N(Inputs!F21)</f>
        <v>0</v>
      </c>
      <c r="F17" s="43">
        <f t="shared" si="0"/>
        <v>0</v>
      </c>
      <c r="G17" s="44">
        <f t="shared" si="1"/>
        <v>0</v>
      </c>
      <c r="H17" s="89">
        <f>'What-If'!N22</f>
        <v>0</v>
      </c>
      <c r="I17" s="105">
        <f>'What-If'!O22</f>
        <v>0</v>
      </c>
      <c r="J17" s="43">
        <f t="shared" si="2"/>
        <v>0</v>
      </c>
      <c r="K17" s="44">
        <f t="shared" si="3"/>
        <v>0</v>
      </c>
      <c r="L17" s="96">
        <f t="shared" si="4"/>
        <v>0</v>
      </c>
      <c r="M17" s="43">
        <f t="shared" si="5"/>
        <v>0</v>
      </c>
      <c r="N17" s="43">
        <f t="shared" si="6"/>
        <v>0</v>
      </c>
      <c r="O17" s="43">
        <f t="shared" si="7"/>
        <v>0</v>
      </c>
      <c r="P17" s="106">
        <f>'What-If'!Q22</f>
        <v>0</v>
      </c>
      <c r="Q17" s="107">
        <f t="shared" si="8"/>
        <v>0</v>
      </c>
      <c r="R17" s="108">
        <f>ROUND(Q17-('What-If'!R22-F17),2)</f>
        <v>0</v>
      </c>
    </row>
    <row r="18" spans="2:18">
      <c r="B18" s="45">
        <v>11</v>
      </c>
      <c r="C18" s="88" t="str">
        <f>'What-If'!C23</f>
        <v/>
      </c>
      <c r="D18" s="89">
        <f>N(Inputs!E22)</f>
        <v>0</v>
      </c>
      <c r="E18" s="105">
        <f>N(Inputs!F22)</f>
        <v>0</v>
      </c>
      <c r="F18" s="43">
        <f t="shared" si="0"/>
        <v>0</v>
      </c>
      <c r="G18" s="44">
        <f t="shared" si="1"/>
        <v>0</v>
      </c>
      <c r="H18" s="89">
        <f>'What-If'!N23</f>
        <v>0</v>
      </c>
      <c r="I18" s="105">
        <f>'What-If'!O23</f>
        <v>0</v>
      </c>
      <c r="J18" s="43">
        <f t="shared" si="2"/>
        <v>0</v>
      </c>
      <c r="K18" s="44">
        <f t="shared" si="3"/>
        <v>0</v>
      </c>
      <c r="L18" s="96">
        <f t="shared" si="4"/>
        <v>0</v>
      </c>
      <c r="M18" s="43">
        <f t="shared" si="5"/>
        <v>0</v>
      </c>
      <c r="N18" s="43">
        <f t="shared" si="6"/>
        <v>0</v>
      </c>
      <c r="O18" s="43">
        <f t="shared" si="7"/>
        <v>0</v>
      </c>
      <c r="P18" s="106">
        <f>'What-If'!Q23</f>
        <v>0</v>
      </c>
      <c r="Q18" s="107">
        <f t="shared" si="8"/>
        <v>0</v>
      </c>
      <c r="R18" s="108">
        <f>ROUND(Q18-('What-If'!R23-F18),2)</f>
        <v>0</v>
      </c>
    </row>
    <row r="19" spans="2:18">
      <c r="B19" s="45">
        <v>12</v>
      </c>
      <c r="C19" s="88" t="str">
        <f>'What-If'!C24</f>
        <v/>
      </c>
      <c r="D19" s="89">
        <f>N(Inputs!E23)</f>
        <v>0</v>
      </c>
      <c r="E19" s="105">
        <f>N(Inputs!F23)</f>
        <v>0</v>
      </c>
      <c r="F19" s="43">
        <f t="shared" si="0"/>
        <v>0</v>
      </c>
      <c r="G19" s="44">
        <f t="shared" si="1"/>
        <v>0</v>
      </c>
      <c r="H19" s="89">
        <f>'What-If'!N24</f>
        <v>0</v>
      </c>
      <c r="I19" s="105">
        <f>'What-If'!O24</f>
        <v>0</v>
      </c>
      <c r="J19" s="43">
        <f t="shared" si="2"/>
        <v>0</v>
      </c>
      <c r="K19" s="44">
        <f t="shared" si="3"/>
        <v>0</v>
      </c>
      <c r="L19" s="96">
        <f t="shared" si="4"/>
        <v>0</v>
      </c>
      <c r="M19" s="43">
        <f t="shared" si="5"/>
        <v>0</v>
      </c>
      <c r="N19" s="43">
        <f t="shared" si="6"/>
        <v>0</v>
      </c>
      <c r="O19" s="43">
        <f t="shared" si="7"/>
        <v>0</v>
      </c>
      <c r="P19" s="106">
        <f>'What-If'!Q24</f>
        <v>0</v>
      </c>
      <c r="Q19" s="107">
        <f t="shared" si="8"/>
        <v>0</v>
      </c>
      <c r="R19" s="108">
        <f>ROUND(Q19-('What-If'!R24-F19),2)</f>
        <v>0</v>
      </c>
    </row>
    <row r="20" spans="2:18">
      <c r="B20" s="45">
        <v>13</v>
      </c>
      <c r="C20" s="88" t="str">
        <f>'What-If'!C25</f>
        <v/>
      </c>
      <c r="D20" s="89">
        <f>N(Inputs!E24)</f>
        <v>0</v>
      </c>
      <c r="E20" s="105">
        <f>N(Inputs!F24)</f>
        <v>0</v>
      </c>
      <c r="F20" s="43">
        <f t="shared" si="0"/>
        <v>0</v>
      </c>
      <c r="G20" s="44">
        <f t="shared" si="1"/>
        <v>0</v>
      </c>
      <c r="H20" s="89">
        <f>'What-If'!N25</f>
        <v>0</v>
      </c>
      <c r="I20" s="105">
        <f>'What-If'!O25</f>
        <v>0</v>
      </c>
      <c r="J20" s="43">
        <f t="shared" si="2"/>
        <v>0</v>
      </c>
      <c r="K20" s="44">
        <f t="shared" si="3"/>
        <v>0</v>
      </c>
      <c r="L20" s="96">
        <f t="shared" si="4"/>
        <v>0</v>
      </c>
      <c r="M20" s="43">
        <f t="shared" si="5"/>
        <v>0</v>
      </c>
      <c r="N20" s="43">
        <f t="shared" si="6"/>
        <v>0</v>
      </c>
      <c r="O20" s="43">
        <f t="shared" si="7"/>
        <v>0</v>
      </c>
      <c r="P20" s="106">
        <f>'What-If'!Q25</f>
        <v>0</v>
      </c>
      <c r="Q20" s="107">
        <f t="shared" si="8"/>
        <v>0</v>
      </c>
      <c r="R20" s="108">
        <f>ROUND(Q20-('What-If'!R25-F20),2)</f>
        <v>0</v>
      </c>
    </row>
    <row r="21" spans="2:18">
      <c r="B21" s="45">
        <v>14</v>
      </c>
      <c r="C21" s="88" t="str">
        <f>'What-If'!C26</f>
        <v/>
      </c>
      <c r="D21" s="89">
        <f>N(Inputs!E25)</f>
        <v>0</v>
      </c>
      <c r="E21" s="105">
        <f>N(Inputs!F25)</f>
        <v>0</v>
      </c>
      <c r="F21" s="43">
        <f t="shared" si="0"/>
        <v>0</v>
      </c>
      <c r="G21" s="44">
        <f t="shared" si="1"/>
        <v>0</v>
      </c>
      <c r="H21" s="89">
        <f>'What-If'!N26</f>
        <v>0</v>
      </c>
      <c r="I21" s="105">
        <f>'What-If'!O26</f>
        <v>0</v>
      </c>
      <c r="J21" s="43">
        <f t="shared" si="2"/>
        <v>0</v>
      </c>
      <c r="K21" s="44">
        <f t="shared" si="3"/>
        <v>0</v>
      </c>
      <c r="L21" s="96">
        <f t="shared" si="4"/>
        <v>0</v>
      </c>
      <c r="M21" s="43">
        <f t="shared" si="5"/>
        <v>0</v>
      </c>
      <c r="N21" s="43">
        <f t="shared" si="6"/>
        <v>0</v>
      </c>
      <c r="O21" s="43">
        <f t="shared" si="7"/>
        <v>0</v>
      </c>
      <c r="P21" s="106">
        <f>'What-If'!Q26</f>
        <v>0</v>
      </c>
      <c r="Q21" s="107">
        <f t="shared" si="8"/>
        <v>0</v>
      </c>
      <c r="R21" s="108">
        <f>ROUND(Q21-('What-If'!R26-F21),2)</f>
        <v>0</v>
      </c>
    </row>
    <row r="22" spans="2:18">
      <c r="B22" s="45">
        <v>15</v>
      </c>
      <c r="C22" s="88" t="str">
        <f>'What-If'!C27</f>
        <v/>
      </c>
      <c r="D22" s="89">
        <f>N(Inputs!E26)</f>
        <v>0</v>
      </c>
      <c r="E22" s="105">
        <f>N(Inputs!F26)</f>
        <v>0</v>
      </c>
      <c r="F22" s="43">
        <f t="shared" si="0"/>
        <v>0</v>
      </c>
      <c r="G22" s="44">
        <f t="shared" si="1"/>
        <v>0</v>
      </c>
      <c r="H22" s="89">
        <f>'What-If'!N27</f>
        <v>0</v>
      </c>
      <c r="I22" s="105">
        <f>'What-If'!O27</f>
        <v>0</v>
      </c>
      <c r="J22" s="43">
        <f t="shared" si="2"/>
        <v>0</v>
      </c>
      <c r="K22" s="44">
        <f t="shared" si="3"/>
        <v>0</v>
      </c>
      <c r="L22" s="96">
        <f t="shared" si="4"/>
        <v>0</v>
      </c>
      <c r="M22" s="43">
        <f t="shared" si="5"/>
        <v>0</v>
      </c>
      <c r="N22" s="43">
        <f t="shared" si="6"/>
        <v>0</v>
      </c>
      <c r="O22" s="43">
        <f t="shared" si="7"/>
        <v>0</v>
      </c>
      <c r="P22" s="106">
        <f>'What-If'!Q27</f>
        <v>0</v>
      </c>
      <c r="Q22" s="107">
        <f t="shared" si="8"/>
        <v>0</v>
      </c>
      <c r="R22" s="108">
        <f>ROUND(Q22-('What-If'!R27-F22),2)</f>
        <v>0</v>
      </c>
    </row>
    <row r="23" spans="2:18">
      <c r="B23" s="45">
        <v>16</v>
      </c>
      <c r="C23" s="88" t="str">
        <f>'What-If'!C28</f>
        <v/>
      </c>
      <c r="D23" s="89">
        <f>N(Inputs!E27)</f>
        <v>0</v>
      </c>
      <c r="E23" s="105">
        <f>N(Inputs!F27)</f>
        <v>0</v>
      </c>
      <c r="F23" s="43">
        <f t="shared" si="0"/>
        <v>0</v>
      </c>
      <c r="G23" s="44">
        <f t="shared" si="1"/>
        <v>0</v>
      </c>
      <c r="H23" s="89">
        <f>'What-If'!N28</f>
        <v>0</v>
      </c>
      <c r="I23" s="105">
        <f>'What-If'!O28</f>
        <v>0</v>
      </c>
      <c r="J23" s="43">
        <f t="shared" si="2"/>
        <v>0</v>
      </c>
      <c r="K23" s="44">
        <f t="shared" si="3"/>
        <v>0</v>
      </c>
      <c r="L23" s="96">
        <f t="shared" si="4"/>
        <v>0</v>
      </c>
      <c r="M23" s="43">
        <f t="shared" si="5"/>
        <v>0</v>
      </c>
      <c r="N23" s="43">
        <f t="shared" si="6"/>
        <v>0</v>
      </c>
      <c r="O23" s="43">
        <f t="shared" si="7"/>
        <v>0</v>
      </c>
      <c r="P23" s="106">
        <f>'What-If'!Q28</f>
        <v>0</v>
      </c>
      <c r="Q23" s="107">
        <f t="shared" si="8"/>
        <v>0</v>
      </c>
      <c r="R23" s="108">
        <f>ROUND(Q23-('What-If'!R28-F23),2)</f>
        <v>0</v>
      </c>
    </row>
    <row r="24" spans="2:18">
      <c r="B24" s="45">
        <v>17</v>
      </c>
      <c r="C24" s="88" t="str">
        <f>'What-If'!C29</f>
        <v/>
      </c>
      <c r="D24" s="89">
        <f>N(Inputs!E28)</f>
        <v>0</v>
      </c>
      <c r="E24" s="105">
        <f>N(Inputs!F28)</f>
        <v>0</v>
      </c>
      <c r="F24" s="43">
        <f t="shared" si="0"/>
        <v>0</v>
      </c>
      <c r="G24" s="44">
        <f t="shared" si="1"/>
        <v>0</v>
      </c>
      <c r="H24" s="89">
        <f>'What-If'!N29</f>
        <v>0</v>
      </c>
      <c r="I24" s="105">
        <f>'What-If'!O29</f>
        <v>0</v>
      </c>
      <c r="J24" s="43">
        <f t="shared" si="2"/>
        <v>0</v>
      </c>
      <c r="K24" s="44">
        <f t="shared" si="3"/>
        <v>0</v>
      </c>
      <c r="L24" s="96">
        <f t="shared" si="4"/>
        <v>0</v>
      </c>
      <c r="M24" s="43">
        <f t="shared" si="5"/>
        <v>0</v>
      </c>
      <c r="N24" s="43">
        <f t="shared" si="6"/>
        <v>0</v>
      </c>
      <c r="O24" s="43">
        <f t="shared" si="7"/>
        <v>0</v>
      </c>
      <c r="P24" s="106">
        <f>'What-If'!Q29</f>
        <v>0</v>
      </c>
      <c r="Q24" s="107">
        <f t="shared" si="8"/>
        <v>0</v>
      </c>
      <c r="R24" s="108">
        <f>ROUND(Q24-('What-If'!R29-F24),2)</f>
        <v>0</v>
      </c>
    </row>
    <row r="25" spans="2:18">
      <c r="B25" s="45">
        <v>18</v>
      </c>
      <c r="C25" s="88" t="str">
        <f>'What-If'!C30</f>
        <v/>
      </c>
      <c r="D25" s="89">
        <f>N(Inputs!E29)</f>
        <v>0</v>
      </c>
      <c r="E25" s="105">
        <f>N(Inputs!F29)</f>
        <v>0</v>
      </c>
      <c r="F25" s="43">
        <f t="shared" si="0"/>
        <v>0</v>
      </c>
      <c r="G25" s="44">
        <f t="shared" si="1"/>
        <v>0</v>
      </c>
      <c r="H25" s="89">
        <f>'What-If'!N30</f>
        <v>0</v>
      </c>
      <c r="I25" s="105">
        <f>'What-If'!O30</f>
        <v>0</v>
      </c>
      <c r="J25" s="43">
        <f t="shared" si="2"/>
        <v>0</v>
      </c>
      <c r="K25" s="44">
        <f t="shared" si="3"/>
        <v>0</v>
      </c>
      <c r="L25" s="96">
        <f t="shared" si="4"/>
        <v>0</v>
      </c>
      <c r="M25" s="43">
        <f t="shared" si="5"/>
        <v>0</v>
      </c>
      <c r="N25" s="43">
        <f t="shared" si="6"/>
        <v>0</v>
      </c>
      <c r="O25" s="43">
        <f t="shared" si="7"/>
        <v>0</v>
      </c>
      <c r="P25" s="106">
        <f>'What-If'!Q30</f>
        <v>0</v>
      </c>
      <c r="Q25" s="107">
        <f t="shared" si="8"/>
        <v>0</v>
      </c>
      <c r="R25" s="108">
        <f>ROUND(Q25-('What-If'!R30-F25),2)</f>
        <v>0</v>
      </c>
    </row>
    <row r="26" spans="2:18">
      <c r="B26" s="45">
        <v>19</v>
      </c>
      <c r="C26" s="88" t="str">
        <f>'What-If'!C31</f>
        <v/>
      </c>
      <c r="D26" s="89">
        <f>N(Inputs!E30)</f>
        <v>0</v>
      </c>
      <c r="E26" s="105">
        <f>N(Inputs!F30)</f>
        <v>0</v>
      </c>
      <c r="F26" s="43">
        <f t="shared" si="0"/>
        <v>0</v>
      </c>
      <c r="G26" s="44">
        <f t="shared" si="1"/>
        <v>0</v>
      </c>
      <c r="H26" s="89">
        <f>'What-If'!N31</f>
        <v>0</v>
      </c>
      <c r="I26" s="105">
        <f>'What-If'!O31</f>
        <v>0</v>
      </c>
      <c r="J26" s="43">
        <f t="shared" si="2"/>
        <v>0</v>
      </c>
      <c r="K26" s="44">
        <f t="shared" si="3"/>
        <v>0</v>
      </c>
      <c r="L26" s="96">
        <f t="shared" si="4"/>
        <v>0</v>
      </c>
      <c r="M26" s="43">
        <f t="shared" si="5"/>
        <v>0</v>
      </c>
      <c r="N26" s="43">
        <f t="shared" si="6"/>
        <v>0</v>
      </c>
      <c r="O26" s="43">
        <f t="shared" si="7"/>
        <v>0</v>
      </c>
      <c r="P26" s="106">
        <f>'What-If'!Q31</f>
        <v>0</v>
      </c>
      <c r="Q26" s="107">
        <f t="shared" si="8"/>
        <v>0</v>
      </c>
      <c r="R26" s="108">
        <f>ROUND(Q26-('What-If'!R31-F26),2)</f>
        <v>0</v>
      </c>
    </row>
    <row r="27" spans="2:18">
      <c r="B27" s="45">
        <v>20</v>
      </c>
      <c r="C27" s="88" t="str">
        <f>'What-If'!C32</f>
        <v/>
      </c>
      <c r="D27" s="89">
        <f>N(Inputs!E31)</f>
        <v>0</v>
      </c>
      <c r="E27" s="105">
        <f>N(Inputs!F31)</f>
        <v>0</v>
      </c>
      <c r="F27" s="43">
        <f t="shared" si="0"/>
        <v>0</v>
      </c>
      <c r="G27" s="44">
        <f t="shared" si="1"/>
        <v>0</v>
      </c>
      <c r="H27" s="89">
        <f>'What-If'!N32</f>
        <v>0</v>
      </c>
      <c r="I27" s="105">
        <f>'What-If'!O32</f>
        <v>0</v>
      </c>
      <c r="J27" s="43">
        <f t="shared" si="2"/>
        <v>0</v>
      </c>
      <c r="K27" s="44">
        <f t="shared" si="3"/>
        <v>0</v>
      </c>
      <c r="L27" s="96">
        <f t="shared" si="4"/>
        <v>0</v>
      </c>
      <c r="M27" s="43">
        <f t="shared" si="5"/>
        <v>0</v>
      </c>
      <c r="N27" s="43">
        <f t="shared" si="6"/>
        <v>0</v>
      </c>
      <c r="O27" s="43">
        <f t="shared" si="7"/>
        <v>0</v>
      </c>
      <c r="P27" s="106">
        <f>'What-If'!Q32</f>
        <v>0</v>
      </c>
      <c r="Q27" s="107">
        <f t="shared" si="8"/>
        <v>0</v>
      </c>
      <c r="R27" s="108">
        <f>ROUND(Q27-('What-If'!R32-F27),2)</f>
        <v>0</v>
      </c>
    </row>
    <row r="28" spans="2:18">
      <c r="B28" s="45">
        <v>21</v>
      </c>
      <c r="C28" s="88" t="str">
        <f>'What-If'!C33</f>
        <v/>
      </c>
      <c r="D28" s="89">
        <f>N(Inputs!E32)</f>
        <v>0</v>
      </c>
      <c r="E28" s="105">
        <f>N(Inputs!F32)</f>
        <v>0</v>
      </c>
      <c r="F28" s="43">
        <f t="shared" si="0"/>
        <v>0</v>
      </c>
      <c r="G28" s="44">
        <f t="shared" si="1"/>
        <v>0</v>
      </c>
      <c r="H28" s="89">
        <f>'What-If'!N33</f>
        <v>0</v>
      </c>
      <c r="I28" s="105">
        <f>'What-If'!O33</f>
        <v>0</v>
      </c>
      <c r="J28" s="43">
        <f t="shared" si="2"/>
        <v>0</v>
      </c>
      <c r="K28" s="44">
        <f t="shared" si="3"/>
        <v>0</v>
      </c>
      <c r="L28" s="96">
        <f t="shared" si="4"/>
        <v>0</v>
      </c>
      <c r="M28" s="43">
        <f t="shared" si="5"/>
        <v>0</v>
      </c>
      <c r="N28" s="43">
        <f t="shared" si="6"/>
        <v>0</v>
      </c>
      <c r="O28" s="43">
        <f t="shared" si="7"/>
        <v>0</v>
      </c>
      <c r="P28" s="106">
        <f>'What-If'!Q33</f>
        <v>0</v>
      </c>
      <c r="Q28" s="107">
        <f t="shared" si="8"/>
        <v>0</v>
      </c>
      <c r="R28" s="108">
        <f>ROUND(Q28-('What-If'!R33-F28),2)</f>
        <v>0</v>
      </c>
    </row>
    <row r="29" spans="2:18">
      <c r="B29" s="45">
        <v>22</v>
      </c>
      <c r="C29" s="88" t="str">
        <f>'What-If'!C34</f>
        <v/>
      </c>
      <c r="D29" s="89">
        <f>N(Inputs!E33)</f>
        <v>0</v>
      </c>
      <c r="E29" s="105">
        <f>N(Inputs!F33)</f>
        <v>0</v>
      </c>
      <c r="F29" s="43">
        <f t="shared" si="0"/>
        <v>0</v>
      </c>
      <c r="G29" s="44">
        <f t="shared" si="1"/>
        <v>0</v>
      </c>
      <c r="H29" s="89">
        <f>'What-If'!N34</f>
        <v>0</v>
      </c>
      <c r="I29" s="105">
        <f>'What-If'!O34</f>
        <v>0</v>
      </c>
      <c r="J29" s="43">
        <f t="shared" si="2"/>
        <v>0</v>
      </c>
      <c r="K29" s="44">
        <f t="shared" si="3"/>
        <v>0</v>
      </c>
      <c r="L29" s="96">
        <f t="shared" si="4"/>
        <v>0</v>
      </c>
      <c r="M29" s="43">
        <f t="shared" si="5"/>
        <v>0</v>
      </c>
      <c r="N29" s="43">
        <f t="shared" si="6"/>
        <v>0</v>
      </c>
      <c r="O29" s="43">
        <f t="shared" si="7"/>
        <v>0</v>
      </c>
      <c r="P29" s="106">
        <f>'What-If'!Q34</f>
        <v>0</v>
      </c>
      <c r="Q29" s="107">
        <f t="shared" si="8"/>
        <v>0</v>
      </c>
      <c r="R29" s="108">
        <f>ROUND(Q29-('What-If'!R34-F29),2)</f>
        <v>0</v>
      </c>
    </row>
    <row r="30" spans="2:18">
      <c r="B30" s="45">
        <v>23</v>
      </c>
      <c r="C30" s="88" t="str">
        <f>'What-If'!C35</f>
        <v/>
      </c>
      <c r="D30" s="89">
        <f>N(Inputs!E34)</f>
        <v>0</v>
      </c>
      <c r="E30" s="105">
        <f>N(Inputs!F34)</f>
        <v>0</v>
      </c>
      <c r="F30" s="43">
        <f t="shared" si="0"/>
        <v>0</v>
      </c>
      <c r="G30" s="44">
        <f t="shared" si="1"/>
        <v>0</v>
      </c>
      <c r="H30" s="89">
        <f>'What-If'!N35</f>
        <v>0</v>
      </c>
      <c r="I30" s="105">
        <f>'What-If'!O35</f>
        <v>0</v>
      </c>
      <c r="J30" s="43">
        <f t="shared" si="2"/>
        <v>0</v>
      </c>
      <c r="K30" s="44">
        <f t="shared" si="3"/>
        <v>0</v>
      </c>
      <c r="L30" s="96">
        <f t="shared" si="4"/>
        <v>0</v>
      </c>
      <c r="M30" s="43">
        <f t="shared" si="5"/>
        <v>0</v>
      </c>
      <c r="N30" s="43">
        <f t="shared" si="6"/>
        <v>0</v>
      </c>
      <c r="O30" s="43">
        <f t="shared" si="7"/>
        <v>0</v>
      </c>
      <c r="P30" s="106">
        <f>'What-If'!Q35</f>
        <v>0</v>
      </c>
      <c r="Q30" s="107">
        <f t="shared" si="8"/>
        <v>0</v>
      </c>
      <c r="R30" s="108">
        <f>ROUND(Q30-('What-If'!R35-F30),2)</f>
        <v>0</v>
      </c>
    </row>
    <row r="31" spans="2:18">
      <c r="B31" s="45">
        <v>24</v>
      </c>
      <c r="C31" s="88" t="str">
        <f>'What-If'!C36</f>
        <v/>
      </c>
      <c r="D31" s="89">
        <f>N(Inputs!E35)</f>
        <v>0</v>
      </c>
      <c r="E31" s="105">
        <f>N(Inputs!F35)</f>
        <v>0</v>
      </c>
      <c r="F31" s="43">
        <f t="shared" si="0"/>
        <v>0</v>
      </c>
      <c r="G31" s="44">
        <f t="shared" si="1"/>
        <v>0</v>
      </c>
      <c r="H31" s="89">
        <f>'What-If'!N36</f>
        <v>0</v>
      </c>
      <c r="I31" s="105">
        <f>'What-If'!O36</f>
        <v>0</v>
      </c>
      <c r="J31" s="43">
        <f t="shared" si="2"/>
        <v>0</v>
      </c>
      <c r="K31" s="44">
        <f t="shared" si="3"/>
        <v>0</v>
      </c>
      <c r="L31" s="96">
        <f t="shared" si="4"/>
        <v>0</v>
      </c>
      <c r="M31" s="43">
        <f t="shared" si="5"/>
        <v>0</v>
      </c>
      <c r="N31" s="43">
        <f t="shared" si="6"/>
        <v>0</v>
      </c>
      <c r="O31" s="43">
        <f t="shared" si="7"/>
        <v>0</v>
      </c>
      <c r="P31" s="106">
        <f>'What-If'!Q36</f>
        <v>0</v>
      </c>
      <c r="Q31" s="107">
        <f t="shared" si="8"/>
        <v>0</v>
      </c>
      <c r="R31" s="108">
        <f>ROUND(Q31-('What-If'!R36-F31),2)</f>
        <v>0</v>
      </c>
    </row>
    <row r="32" spans="2:18">
      <c r="B32" s="45">
        <v>25</v>
      </c>
      <c r="C32" s="88" t="str">
        <f>'What-If'!C37</f>
        <v/>
      </c>
      <c r="D32" s="89">
        <f>N(Inputs!E36)</f>
        <v>0</v>
      </c>
      <c r="E32" s="105">
        <f>N(Inputs!F36)</f>
        <v>0</v>
      </c>
      <c r="F32" s="43">
        <f t="shared" si="0"/>
        <v>0</v>
      </c>
      <c r="G32" s="44">
        <f t="shared" si="1"/>
        <v>0</v>
      </c>
      <c r="H32" s="89">
        <f>'What-If'!N37</f>
        <v>0</v>
      </c>
      <c r="I32" s="105">
        <f>'What-If'!O37</f>
        <v>0</v>
      </c>
      <c r="J32" s="43">
        <f t="shared" si="2"/>
        <v>0</v>
      </c>
      <c r="K32" s="44">
        <f t="shared" si="3"/>
        <v>0</v>
      </c>
      <c r="L32" s="96">
        <f t="shared" si="4"/>
        <v>0</v>
      </c>
      <c r="M32" s="43">
        <f t="shared" si="5"/>
        <v>0</v>
      </c>
      <c r="N32" s="43">
        <f t="shared" si="6"/>
        <v>0</v>
      </c>
      <c r="O32" s="43">
        <f t="shared" si="7"/>
        <v>0</v>
      </c>
      <c r="P32" s="106">
        <f>'What-If'!Q37</f>
        <v>0</v>
      </c>
      <c r="Q32" s="107">
        <f t="shared" si="8"/>
        <v>0</v>
      </c>
      <c r="R32" s="108">
        <f>ROUND(Q32-('What-If'!R37-F32),2)</f>
        <v>0</v>
      </c>
    </row>
    <row r="33" spans="2:20">
      <c r="B33" s="73"/>
      <c r="C33" s="78" t="s">
        <v>179</v>
      </c>
      <c r="D33" s="98">
        <f>SUM(D8:D32)</f>
        <v>112500</v>
      </c>
      <c r="E33" s="76">
        <f>IF(D33=0,0,F33/D33)</f>
        <v>145.6888888888889</v>
      </c>
      <c r="F33" s="75">
        <f>SUM(F8:F32)</f>
        <v>16390000</v>
      </c>
      <c r="G33" s="109">
        <f>SUM(G8:G32)</f>
        <v>1</v>
      </c>
      <c r="H33" s="98">
        <f>SUM(H8:H32)</f>
        <v>103740</v>
      </c>
      <c r="I33" s="76">
        <f>IF(H33=0,0,J33/H33)</f>
        <v>149.90650183150183</v>
      </c>
      <c r="J33" s="75">
        <f t="shared" ref="J33:R33" si="9">SUM(J8:J32)</f>
        <v>15551300.5</v>
      </c>
      <c r="K33" s="109">
        <f t="shared" si="9"/>
        <v>1</v>
      </c>
      <c r="L33" s="102">
        <f t="shared" si="9"/>
        <v>103739.99999999999</v>
      </c>
      <c r="M33" s="75">
        <f t="shared" si="9"/>
        <v>-1276234.6666666667</v>
      </c>
      <c r="N33" s="75">
        <f t="shared" si="9"/>
        <v>448200.50000000029</v>
      </c>
      <c r="O33" s="75">
        <f t="shared" si="9"/>
        <v>-10665.333333332826</v>
      </c>
      <c r="P33" s="75">
        <f t="shared" si="9"/>
        <v>-69525</v>
      </c>
      <c r="Q33" s="103">
        <f t="shared" si="9"/>
        <v>-908224.49999999907</v>
      </c>
      <c r="R33" s="110">
        <f t="shared" si="9"/>
        <v>0</v>
      </c>
    </row>
    <row r="35" spans="2:20" ht="16.5">
      <c r="B35" s="111" t="s">
        <v>211</v>
      </c>
    </row>
    <row r="36" spans="2:20" ht="31.35" customHeight="1">
      <c r="B36" s="10"/>
      <c r="C36" s="11" t="s">
        <v>8</v>
      </c>
      <c r="D36" s="11" t="s">
        <v>9</v>
      </c>
      <c r="E36" s="11" t="s">
        <v>10</v>
      </c>
      <c r="F36" s="11" t="s">
        <v>212</v>
      </c>
      <c r="G36" s="11" t="s">
        <v>213</v>
      </c>
      <c r="H36" s="11" t="s">
        <v>214</v>
      </c>
      <c r="I36" s="31" t="s">
        <v>215</v>
      </c>
    </row>
    <row r="37" spans="2:20">
      <c r="B37" s="112"/>
      <c r="C37" s="113" t="s">
        <v>1</v>
      </c>
      <c r="D37" s="114">
        <f>F33</f>
        <v>16390000</v>
      </c>
      <c r="E37" s="43">
        <f>D37</f>
        <v>16390000</v>
      </c>
      <c r="F37" s="115">
        <v>0</v>
      </c>
      <c r="G37" s="115">
        <v>0</v>
      </c>
      <c r="H37" s="115">
        <v>0</v>
      </c>
      <c r="I37" s="116">
        <f>D37</f>
        <v>16390000</v>
      </c>
    </row>
    <row r="38" spans="2:20">
      <c r="B38" s="112"/>
      <c r="C38" s="117" t="s">
        <v>121</v>
      </c>
      <c r="D38" s="43">
        <f>M33</f>
        <v>-1276234.6666666667</v>
      </c>
      <c r="E38" s="43">
        <f>E37+D38</f>
        <v>15113765.333333334</v>
      </c>
      <c r="F38" s="115">
        <f>MIN(E37,E38)</f>
        <v>15113765.333333334</v>
      </c>
      <c r="G38" s="115">
        <f>MAX(D38,0)</f>
        <v>0</v>
      </c>
      <c r="H38" s="115">
        <f>MAX(-D38,0)</f>
        <v>1276234.6666666667</v>
      </c>
      <c r="I38" s="116">
        <v>0</v>
      </c>
    </row>
    <row r="39" spans="2:20">
      <c r="B39" s="112"/>
      <c r="C39" s="117" t="s">
        <v>123</v>
      </c>
      <c r="D39" s="43">
        <f>N33</f>
        <v>448200.50000000029</v>
      </c>
      <c r="E39" s="43">
        <f>E38+D39</f>
        <v>15561965.833333334</v>
      </c>
      <c r="F39" s="115">
        <f>MIN(E38,E39)</f>
        <v>15113765.333333334</v>
      </c>
      <c r="G39" s="115">
        <f>MAX(D39,0)</f>
        <v>448200.50000000029</v>
      </c>
      <c r="H39" s="115">
        <f>MAX(-D39,0)</f>
        <v>0</v>
      </c>
      <c r="I39" s="116">
        <v>0</v>
      </c>
    </row>
    <row r="40" spans="2:20">
      <c r="B40" s="112"/>
      <c r="C40" s="117" t="s">
        <v>125</v>
      </c>
      <c r="D40" s="43">
        <f>O33</f>
        <v>-10665.333333332826</v>
      </c>
      <c r="E40" s="43">
        <f>E39+D40</f>
        <v>15551300.500000002</v>
      </c>
      <c r="F40" s="115">
        <f>MIN(E39,E40)</f>
        <v>15551300.500000002</v>
      </c>
      <c r="G40" s="115">
        <f>MAX(D40,0)</f>
        <v>0</v>
      </c>
      <c r="H40" s="115">
        <f>MAX(-D40,0)</f>
        <v>10665.333333332826</v>
      </c>
      <c r="I40" s="116">
        <v>0</v>
      </c>
    </row>
    <row r="41" spans="2:20">
      <c r="B41" s="112"/>
      <c r="C41" s="117" t="s">
        <v>32</v>
      </c>
      <c r="D41" s="43">
        <f>P33</f>
        <v>-69525</v>
      </c>
      <c r="E41" s="43">
        <f>E40+D41</f>
        <v>15481775.500000002</v>
      </c>
      <c r="F41" s="115">
        <f>MIN(E40,E41)</f>
        <v>15481775.500000002</v>
      </c>
      <c r="G41" s="115">
        <f>MAX(D41,0)</f>
        <v>0</v>
      </c>
      <c r="H41" s="115">
        <f>MAX(-D41,0)</f>
        <v>69525</v>
      </c>
      <c r="I41" s="116">
        <v>0</v>
      </c>
    </row>
    <row r="42" spans="2:20">
      <c r="B42" s="112"/>
      <c r="C42" s="113" t="s">
        <v>2</v>
      </c>
      <c r="D42" s="114">
        <f>'What-If'!R38</f>
        <v>15481775.5</v>
      </c>
      <c r="E42" s="43">
        <f>D42</f>
        <v>15481775.5</v>
      </c>
      <c r="F42" s="115">
        <v>0</v>
      </c>
      <c r="G42" s="115">
        <v>0</v>
      </c>
      <c r="H42" s="115">
        <v>0</v>
      </c>
      <c r="I42" s="116">
        <f>D42</f>
        <v>15481775.5</v>
      </c>
    </row>
    <row r="43" spans="2:20">
      <c r="B43" s="118"/>
      <c r="C43" s="119" t="s">
        <v>216</v>
      </c>
      <c r="D43" s="120">
        <f>ROUND(E41-D42,2)</f>
        <v>0</v>
      </c>
      <c r="E43" s="14"/>
      <c r="F43" s="14"/>
      <c r="G43" s="14"/>
      <c r="H43" s="14"/>
      <c r="I43" s="15"/>
    </row>
    <row r="44" spans="2:20" ht="16.5">
      <c r="K44" s="111" t="s">
        <v>217</v>
      </c>
    </row>
    <row r="45" spans="2:20" ht="31.35" customHeight="1">
      <c r="B45" s="111" t="s">
        <v>218</v>
      </c>
      <c r="K45" s="10" t="s">
        <v>8</v>
      </c>
      <c r="L45" s="11" t="s">
        <v>19</v>
      </c>
      <c r="M45" s="11" t="s">
        <v>219</v>
      </c>
      <c r="N45" s="11" t="s">
        <v>220</v>
      </c>
      <c r="O45" s="11" t="s">
        <v>221</v>
      </c>
      <c r="P45" s="11" t="s">
        <v>222</v>
      </c>
      <c r="Q45" s="11" t="s">
        <v>223</v>
      </c>
      <c r="R45" s="11" t="s">
        <v>224</v>
      </c>
      <c r="S45" s="11" t="s">
        <v>225</v>
      </c>
      <c r="T45" s="31" t="s">
        <v>226</v>
      </c>
    </row>
    <row r="46" spans="2:20" ht="31.35" customHeight="1">
      <c r="C46" s="121" t="s">
        <v>227</v>
      </c>
      <c r="D46" s="122">
        <f>IFERROR('What-If'!P38/((1+'What-If'!D7)*(1+'What-If'!D8)),0)</f>
        <v>15893000.000000002</v>
      </c>
      <c r="K46" s="42" t="s">
        <v>121</v>
      </c>
      <c r="L46" s="43">
        <f>D38</f>
        <v>-1276234.6666666667</v>
      </c>
      <c r="M46" s="43">
        <f>0+L46</f>
        <v>-1276234.6666666667</v>
      </c>
      <c r="N46" s="115">
        <f>MAX(MIN(0,M46),0)</f>
        <v>0</v>
      </c>
      <c r="O46" s="115">
        <f>MIN(MAX(0,M46),0)</f>
        <v>0</v>
      </c>
      <c r="P46" s="115">
        <f>IF(L46&gt;=0,MAX(MAX(0,M46),0)-MAX(MIN(0,M46),0),0)</f>
        <v>0</v>
      </c>
      <c r="Q46" s="115">
        <f>IF(L46&gt;=0,MIN(MIN(0,M46),0)-MIN(MAX(0,M46),0),0)</f>
        <v>0</v>
      </c>
      <c r="R46" s="115">
        <f>IF(L46&lt;0,MAX(MAX(0,M46),0)-MAX(MIN(0,M46),0),0)</f>
        <v>0</v>
      </c>
      <c r="S46" s="115">
        <f>IF(L46&lt;0,MIN(MIN(0,M46),0)-MIN(MAX(0,M46),0),0)</f>
        <v>-1276234.6666666667</v>
      </c>
      <c r="T46" s="116">
        <v>0</v>
      </c>
    </row>
    <row r="47" spans="2:20" ht="31.35" customHeight="1">
      <c r="C47" s="123" t="s">
        <v>228</v>
      </c>
      <c r="D47" s="124">
        <f>IFERROR(SUMPRODUCT('What-If'!K13:K37,'What-If'!O13:O37)/(1+'What-If'!D8),0)</f>
        <v>-67500</v>
      </c>
      <c r="K47" s="42" t="s">
        <v>123</v>
      </c>
      <c r="L47" s="43">
        <f>D39</f>
        <v>448200.50000000029</v>
      </c>
      <c r="M47" s="43">
        <f>M46+L47</f>
        <v>-828034.16666666651</v>
      </c>
      <c r="N47" s="115">
        <f>MAX(MIN(M46,M47),0)</f>
        <v>0</v>
      </c>
      <c r="O47" s="115">
        <f>MIN(MAX(M46,M47),0)</f>
        <v>-828034.16666666651</v>
      </c>
      <c r="P47" s="115">
        <f>IF(L47&gt;=0,MAX(MAX(M46,M47),0)-MAX(MIN(M46,M47),0),0)</f>
        <v>0</v>
      </c>
      <c r="Q47" s="115">
        <f>IF(L47&gt;=0,MIN(MIN(M46,M47),0)-MIN(MAX(M46,M47),0),0)</f>
        <v>-448200.50000000023</v>
      </c>
      <c r="R47" s="115">
        <f>IF(L47&lt;0,MAX(MAX(M46,M47),0)-MAX(MIN(M46,M47),0),0)</f>
        <v>0</v>
      </c>
      <c r="S47" s="115">
        <f>IF(L47&lt;0,MIN(MIN(M46,M47),0)-MIN(MAX(M46,M47),0),0)</f>
        <v>0</v>
      </c>
      <c r="T47" s="116">
        <v>0</v>
      </c>
    </row>
    <row r="48" spans="2:20" ht="18.75" customHeight="1">
      <c r="C48" s="123" t="s">
        <v>229</v>
      </c>
      <c r="D48" s="124">
        <f>'What-If'!L38</f>
        <v>0</v>
      </c>
      <c r="K48" s="42" t="s">
        <v>125</v>
      </c>
      <c r="L48" s="43">
        <f>D40</f>
        <v>-10665.333333332826</v>
      </c>
      <c r="M48" s="43">
        <f>M47+L48</f>
        <v>-838699.4999999993</v>
      </c>
      <c r="N48" s="115">
        <f>MAX(MIN(M47,M48),0)</f>
        <v>0</v>
      </c>
      <c r="O48" s="115">
        <f>MIN(MAX(M47,M48),0)</f>
        <v>-828034.16666666651</v>
      </c>
      <c r="P48" s="115">
        <f>IF(L48&gt;=0,MAX(MAX(M47,M48),0)-MAX(MIN(M47,M48),0),0)</f>
        <v>0</v>
      </c>
      <c r="Q48" s="115">
        <f>IF(L48&gt;=0,MIN(MIN(M47,M48),0)-MIN(MAX(M47,M48),0),0)</f>
        <v>0</v>
      </c>
      <c r="R48" s="115">
        <f>IF(L48&lt;0,MAX(MAX(M47,M48),0)-MAX(MIN(M47,M48),0),0)</f>
        <v>0</v>
      </c>
      <c r="S48" s="115">
        <f>IF(L48&lt;0,MIN(MIN(M47,M48),0)-MIN(MAX(M47,M48),0),0)</f>
        <v>-10665.33333333279</v>
      </c>
      <c r="T48" s="116">
        <v>0</v>
      </c>
    </row>
    <row r="49" spans="3:20" ht="18.75" customHeight="1">
      <c r="C49" s="125" t="s">
        <v>1</v>
      </c>
      <c r="D49" s="126">
        <f>Inputs!G37</f>
        <v>16390000</v>
      </c>
      <c r="K49" s="42" t="s">
        <v>32</v>
      </c>
      <c r="L49" s="43">
        <f>D41</f>
        <v>-69525</v>
      </c>
      <c r="M49" s="43">
        <f>M48+L49</f>
        <v>-908224.4999999993</v>
      </c>
      <c r="N49" s="115">
        <f>MAX(MIN(M48,M49),0)</f>
        <v>0</v>
      </c>
      <c r="O49" s="115">
        <f>MIN(MAX(M48,M49),0)</f>
        <v>-838699.4999999993</v>
      </c>
      <c r="P49" s="115">
        <f>IF(L49&gt;=0,MAX(MAX(M48,M49),0)-MAX(MIN(M48,M49),0),0)</f>
        <v>0</v>
      </c>
      <c r="Q49" s="115">
        <f>IF(L49&gt;=0,MIN(MIN(M48,M49),0)-MIN(MAX(M48,M49),0),0)</f>
        <v>0</v>
      </c>
      <c r="R49" s="115">
        <f>IF(L49&lt;0,MAX(MAX(M48,M49),0)-MAX(MIN(M48,M49),0),0)</f>
        <v>0</v>
      </c>
      <c r="S49" s="115">
        <f>IF(L49&lt;0,MIN(MIN(M48,M49),0)-MIN(MAX(M48,M49),0),0)</f>
        <v>-69525</v>
      </c>
      <c r="T49" s="116">
        <v>0</v>
      </c>
    </row>
    <row r="50" spans="3:20">
      <c r="K50" s="127" t="s">
        <v>230</v>
      </c>
      <c r="L50" s="52">
        <f>SUM(L46:L49)</f>
        <v>-908224.4999999993</v>
      </c>
      <c r="M50" s="52">
        <f>L50</f>
        <v>-908224.4999999993</v>
      </c>
      <c r="N50" s="120">
        <v>0</v>
      </c>
      <c r="O50" s="120">
        <v>0</v>
      </c>
      <c r="P50" s="120">
        <v>0</v>
      </c>
      <c r="Q50" s="120">
        <v>0</v>
      </c>
      <c r="R50" s="120">
        <v>0</v>
      </c>
      <c r="S50" s="120">
        <v>0</v>
      </c>
      <c r="T50" s="128">
        <f>L50</f>
        <v>-908224.4999999993</v>
      </c>
    </row>
  </sheetData>
  <sheetProtection sheet="1" formatCells="0" formatColumns="0" formatRows="0"/>
  <mergeCells count="4">
    <mergeCell ref="H6:K6"/>
    <mergeCell ref="R6"/>
    <mergeCell ref="D6:G6"/>
    <mergeCell ref="L6:Q6"/>
  </mergeCells>
  <conditionalFormatting sqref="D38:D41">
    <cfRule type="cellIs" dxfId="3" priority="3" operator="greaterThan">
      <formula>0.004</formula>
    </cfRule>
    <cfRule type="cellIs" dxfId="2" priority="4" operator="lessThan">
      <formula>-0.004</formula>
    </cfRule>
  </conditionalFormatting>
  <conditionalFormatting sqref="M8:Q33">
    <cfRule type="cellIs" dxfId="1" priority="1" operator="greaterThan">
      <formula>0.004</formula>
    </cfRule>
    <cfRule type="cellIs" dxfId="0" priority="2" operator="lessThan">
      <formula>-0.004</formula>
    </cfRule>
  </conditionalFormatting>
  <pageMargins left="0.75" right="0.75" top="1" bottom="1" header="0.5" footer="0.5"/>
  <pageSetup fitToHeight="0" orientation="landscape"/>
  <headerFooter>
    <oddFooter>&amp;LSeizmic FP&amp;&amp;A | Variance Bridge Analysis Workbook | Seizmic proprietary&amp;RPage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Cover</vt:lpstr>
      <vt:lpstr>How To Use</vt:lpstr>
      <vt:lpstr>Dashboard</vt:lpstr>
      <vt:lpstr>Inputs</vt:lpstr>
      <vt:lpstr>What-If</vt:lpstr>
      <vt:lpstr>Bridge</vt:lpstr>
      <vt:lpstr>Dashboard!Print_Area</vt:lpstr>
      <vt:lpstr>Bridge!Print_Titles</vt:lpstr>
      <vt:lpstr>Inputs!Print_Titles</vt:lpstr>
      <vt:lpstr>'What-If'!Print_Titles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Seizmic Variance Bridge Analysis Workbook</dc:title>
  <dc:creator>Seizmic FP&amp;A</dc:creator>
  <cp:lastModifiedBy>Charles Nightingale</cp:lastModifiedBy>
  <dcterms:created xsi:type="dcterms:W3CDTF">2026-11-04T20:33:56Z</dcterms:created>
  <dcterms:modified xsi:type="dcterms:W3CDTF">2026-11-04T21:25:50Z</dcterms:modified>
</cp:coreProperties>
</file>